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15" yWindow="65431" windowWidth="11130" windowHeight="11580" tabRatio="952" firstSheet="7" activeTab="21"/>
  </bookViews>
  <sheets>
    <sheet name="Rajtlista" sheetId="1" r:id="rId1"/>
    <sheet name="ED_rajtl" sheetId="2" r:id="rId2"/>
    <sheet name="ED-X" sheetId="3" r:id="rId3"/>
    <sheet name="ED_tov" sheetId="4" r:id="rId4"/>
    <sheet name="R_fut_sors" sheetId="5" r:id="rId5"/>
    <sheet name="R_fut_rajtl" sheetId="6" r:id="rId6"/>
    <sheet name="R_fut_X" sheetId="7" r:id="rId7"/>
    <sheet name="R_fut_tov" sheetId="8" r:id="rId8"/>
    <sheet name="Kd_sors" sheetId="9" r:id="rId9"/>
    <sheet name="Kd_rajtl" sheetId="10" r:id="rId10"/>
    <sheet name="Kd_X" sheetId="11" r:id="rId11"/>
    <sheet name="Kd_tov" sheetId="12" r:id="rId12"/>
    <sheet name="Kd_r_sors" sheetId="13" r:id="rId13"/>
    <sheet name="Kd_r_rajtl" sheetId="14" r:id="rId14"/>
    <sheet name="Kd_r_X" sheetId="15" r:id="rId15"/>
    <sheet name="Kd_r_tov" sheetId="16" r:id="rId16"/>
    <sheet name="Dont_sors" sheetId="17" r:id="rId17"/>
    <sheet name="Dont_rajtl" sheetId="18" r:id="rId18"/>
    <sheet name="Lassu_skating" sheetId="19" r:id="rId19"/>
    <sheet name="Gyors_skating" sheetId="20" r:id="rId20"/>
    <sheet name="Osszesit" sheetId="21" r:id="rId21"/>
    <sheet name="Vegeredmeny" sheetId="22" r:id="rId22"/>
  </sheets>
  <externalReferences>
    <externalReference r:id="rId25"/>
  </externalReferences>
  <definedNames>
    <definedName name="ISZ">'[1]Sorsolás'!$F$2</definedName>
    <definedName name="TJSZ1">'[1]1-X'!$D$4</definedName>
    <definedName name="TJSZ2">'[1]2-X'!$D$4</definedName>
    <definedName name="TJSZ3">'[1]3-X'!$D$4</definedName>
    <definedName name="TJSZ4">'[1]4-X'!$D$4</definedName>
  </definedNames>
  <calcPr fullCalcOnLoad="1"/>
</workbook>
</file>

<file path=xl/comments1.xml><?xml version="1.0" encoding="utf-8"?>
<comments xmlns="http://schemas.openxmlformats.org/spreadsheetml/2006/main">
  <authors>
    <author>Kov?cs B?la</author>
    <author>kovacsbe</author>
  </authors>
  <commentList>
    <comment ref="F2" authorId="0">
      <text>
        <r>
          <rPr>
            <b/>
            <sz val="9"/>
            <color indexed="10"/>
            <rFont val="Tahoma"/>
            <family val="2"/>
          </rPr>
          <t>Tilos Beleírni,
a gép tölti ki !!!!</t>
        </r>
        <r>
          <rPr>
            <sz val="9"/>
            <rFont val="Tahoma"/>
            <family val="2"/>
          </rPr>
          <t xml:space="preserve">
</t>
        </r>
      </text>
    </comment>
    <comment ref="I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A táblázat kitöltése :
 Csak három oszlopot kell kitölteni !
</t>
        </r>
        <r>
          <rPr>
            <sz val="8"/>
            <color indexed="48"/>
            <rFont val="Tahoma"/>
            <family val="2"/>
          </rPr>
          <t>Rajtszám</t>
        </r>
        <r>
          <rPr>
            <sz val="8"/>
            <rFont val="Tahoma"/>
            <family val="2"/>
          </rPr>
          <t xml:space="preserve"> : A nevező páros által  
                  választott rajszám             
                  begépelése 
</t>
        </r>
        <r>
          <rPr>
            <sz val="8"/>
            <color indexed="48"/>
            <rFont val="Tahoma"/>
            <family val="2"/>
          </rPr>
          <t>Név</t>
        </r>
        <r>
          <rPr>
            <sz val="8"/>
            <rFont val="Tahoma"/>
            <family val="2"/>
          </rPr>
          <t xml:space="preserve">         :  A nevező páros nevének 
                  begépelése . Elöl a fiú 
                  neve , elválasztva  " - " 
                  a lány  nevétől  
</t>
        </r>
        <r>
          <rPr>
            <sz val="8"/>
            <color indexed="48"/>
            <rFont val="Tahoma"/>
            <family val="2"/>
          </rPr>
          <t>Klub</t>
        </r>
        <r>
          <rPr>
            <sz val="8"/>
            <rFont val="Tahoma"/>
            <family val="2"/>
          </rPr>
          <t xml:space="preserve">         : A nevezett páros 
                  Klubjának begépelése .
</t>
        </r>
        <r>
          <rPr>
            <sz val="8"/>
            <color indexed="48"/>
            <rFont val="Tahoma"/>
            <family val="2"/>
          </rPr>
          <t xml:space="preserve">Fordulók Száma : </t>
        </r>
        <r>
          <rPr>
            <sz val="8"/>
            <rFont val="Tahoma"/>
            <family val="2"/>
          </rPr>
          <t xml:space="preserve">
                Csak Döntő esetén </t>
        </r>
        <r>
          <rPr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- es
                Elődöntő;Döntő      </t>
        </r>
        <r>
          <rPr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- es
 Elődöntő;Középdöntő;Döntő 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- as
</t>
        </r>
        <r>
          <rPr>
            <sz val="8"/>
            <color indexed="10"/>
            <rFont val="Tahoma"/>
            <family val="2"/>
          </rPr>
          <t>Az Indulók Száma autómatikusan Töltődik,tilos beleírni !</t>
        </r>
        <r>
          <rPr>
            <sz val="8"/>
            <rFont val="Tahoma"/>
            <family val="2"/>
          </rPr>
          <t xml:space="preserve">
Ha teljes a tábla, akkor lehet a sorsolás gombra 
kattintani,ami elkészíti az elődöntő sorsolását,és átléptet a következő
ablakba.
Ha a " C " oszlopban "</t>
        </r>
        <r>
          <rPr>
            <sz val="8"/>
            <color indexed="10"/>
            <rFont val="Tahoma"/>
            <family val="2"/>
          </rPr>
          <t>HIBA</t>
        </r>
        <r>
          <rPr>
            <sz val="8"/>
            <rFont val="Tahoma"/>
            <family val="2"/>
          </rPr>
          <t>" jelzés látható ,akkor a mellette levő rajtszámot kétszer ütötted be.
A másik azonos rajtszámnál is megjelenik a "</t>
        </r>
        <r>
          <rPr>
            <sz val="8"/>
            <color indexed="10"/>
            <rFont val="Tahoma"/>
            <family val="2"/>
          </rPr>
          <t>HIBA</t>
        </r>
        <r>
          <rPr>
            <sz val="8"/>
            <rFont val="Tahoma"/>
            <family val="2"/>
          </rPr>
          <t>" jelzés.</t>
        </r>
      </text>
    </comment>
    <comment ref="C3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Ha </t>
        </r>
        <r>
          <rPr>
            <sz val="8"/>
            <color indexed="10"/>
            <rFont val="Tahoma"/>
            <family val="2"/>
          </rPr>
          <t>Hiba</t>
        </r>
        <r>
          <rPr>
            <sz val="8"/>
            <rFont val="Tahoma"/>
            <family val="2"/>
          </rPr>
          <t xml:space="preserve"> kiírást látsz,akkor duplán  adtál ki egy rajtszámot !</t>
        </r>
      </text>
    </comment>
    <comment ref="G2" authorId="1">
      <text>
        <r>
          <rPr>
            <sz val="8"/>
            <rFont val="Tahoma"/>
            <family val="2"/>
          </rPr>
          <t xml:space="preserve">Kovács Béla:
Csak Döntő esetén </t>
        </r>
        <r>
          <rPr>
            <sz val="8"/>
            <color indexed="10"/>
            <rFont val="Tahoma"/>
            <family val="2"/>
          </rPr>
          <t>1</t>
        </r>
        <r>
          <rPr>
            <sz val="8"/>
            <rFont val="Tahoma"/>
            <family val="2"/>
          </rPr>
          <t xml:space="preserve"> - es
Elődöntő;Döntő      </t>
        </r>
        <r>
          <rPr>
            <sz val="8"/>
            <color indexed="10"/>
            <rFont val="Tahoma"/>
            <family val="2"/>
          </rPr>
          <t>2</t>
        </r>
        <r>
          <rPr>
            <sz val="8"/>
            <rFont val="Tahoma"/>
            <family val="2"/>
          </rPr>
          <t xml:space="preserve"> - es
Elődöntő;Középdöntő;Döntő </t>
        </r>
        <r>
          <rPr>
            <sz val="8"/>
            <color indexed="10"/>
            <rFont val="Tahoma"/>
            <family val="2"/>
          </rPr>
          <t>3</t>
        </r>
        <r>
          <rPr>
            <sz val="8"/>
            <rFont val="Tahoma"/>
            <family val="2"/>
          </rPr>
          <t xml:space="preserve"> - as
</t>
        </r>
        <r>
          <rPr>
            <sz val="8"/>
            <color indexed="10"/>
            <rFont val="Tahoma"/>
            <family val="2"/>
          </rPr>
          <t xml:space="preserve">
Fontos, hogy jó számot írj, mert asszerint viszi át az adatokat a megfelelő helyre.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Kov?cs B?la</author>
  </authors>
  <commentList>
    <comment ref="F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A Reményfutam sorsolása után áttöltött listát berendezi 
2 körös beosztásba , ha
megnyomod a " 2-es körbeosztás" gombot 
Az így elkészült listát lehet kinyomtatni.
Papír takarékosság jegyében a következő lépéseket tedd meg :
Jelöld ki a nyomtatandó
területet , majd klikkelj a
File menü- Set Print Area
menüjére.
Utána a File menü Print
menüjére.
Ha kész vagy,mehetsz az
Kd_X lapra.Alul klikkelj rá.</t>
        </r>
      </text>
    </comment>
  </commentList>
</comments>
</file>

<file path=xl/comments11.xml><?xml version="1.0" encoding="utf-8"?>
<comments xmlns="http://schemas.openxmlformats.org/spreadsheetml/2006/main">
  <authors>
    <author>Kov?cs B?la</author>
  </authors>
  <commentList>
    <comment ref="B39" authorId="0">
      <text>
        <r>
          <rPr>
            <sz val="8"/>
            <rFont val="Tahoma"/>
            <family val="2"/>
          </rPr>
          <t>Ha a sorba</t>
        </r>
        <r>
          <rPr>
            <sz val="8"/>
            <color indexed="10"/>
            <rFont val="Tahoma"/>
            <family val="2"/>
          </rPr>
          <t xml:space="preserve"> Hiba</t>
        </r>
        <r>
          <rPr>
            <sz val="8"/>
            <rFont val="Tahoma"/>
            <family val="2"/>
          </rPr>
          <t xml:space="preserve"> jelzés
íródik ki, akkor valamelyik
sorban nagyobb pontszámot ütöttél be mint 40 ! Javítsd ki !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Ha </t>
        </r>
        <r>
          <rPr>
            <b/>
            <sz val="8"/>
            <color indexed="10"/>
            <rFont val="Tahoma"/>
            <family val="2"/>
          </rPr>
          <t>!!!!</t>
        </r>
        <r>
          <rPr>
            <b/>
            <sz val="8"/>
            <rFont val="Tahoma"/>
            <family val="2"/>
          </rPr>
          <t xml:space="preserve"> marad valamelyik cellában,akkor nincs kitöltve minden pontszám ! Ellenörizd át a táblázatot !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>Írd be A versenyvezetővel egyeztetett</t>
        </r>
        <r>
          <rPr>
            <b/>
            <sz val="8"/>
            <color indexed="10"/>
            <rFont val="Tahoma"/>
            <family val="2"/>
          </rPr>
          <t xml:space="preserve"> " X "</t>
        </r>
        <r>
          <rPr>
            <b/>
            <sz val="8"/>
            <rFont val="Tahoma"/>
            <family val="2"/>
          </rPr>
          <t xml:space="preserve"> - ek számát 
 ( hányan jussanak tovább )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Kovács Béla:
1.Töltsd ki a továbbjutók számát,
   a versenyvezető által megadott
  számmal.( hány  " X " -et osszon
  ki )
A begyüjtött 5 pontozó által kitöltött pontozó lapok adatainak begépelése a rajtszámoknak megfelelően.Figyelj ,hogy a
rajtszámokhoz tartozó pontokat
jó helyre írd.
A rajtszámot a program a sorsolának megfelelően írja be.
A táblázat alján két segítség sor 
jelentése : 
Felső - Ha valamelyik cellába  
           40-nél nagyobb pontszámot
           írtál,Hiba kiírás jelenik meg
           abban az oszlopban.
Alsó - Alapban !!!! látható a 
         sorban. Ha az adott 
         oszlopban kitöltöttél minden  
         cellát,akkor a jel eltűnik.  
Ha kész a táblázat kitöltése, nyomd meg az </t>
        </r>
        <r>
          <rPr>
            <sz val="8"/>
            <color indexed="48"/>
            <rFont val="Tahoma"/>
            <family val="2"/>
          </rPr>
          <t>X - Számolása</t>
        </r>
        <r>
          <rPr>
            <sz val="8"/>
            <rFont val="Tahoma"/>
            <family val="2"/>
          </rPr>
          <t xml:space="preserve">
gombot.A program kiszámolja az
egyes pároknak adott X -eket ,és
összeadja a pontszámokat.
A legkisebb, és legnagyobb pontszám kiesik.
A következő lépésben nyomd meg
a </t>
        </r>
        <r>
          <rPr>
            <sz val="8"/>
            <color indexed="48"/>
            <rFont val="Tahoma"/>
            <family val="2"/>
          </rPr>
          <t>Rendezés gombot</t>
        </r>
        <r>
          <rPr>
            <sz val="8"/>
            <rFont val="Tahoma"/>
            <family val="2"/>
          </rPr>
          <t>.
Ez berendezi a sorrendet,és átléptet a következő lapra
 (Kd_tov).</t>
        </r>
      </text>
    </comment>
  </commentList>
</comments>
</file>

<file path=xl/comments12.xml><?xml version="1.0" encoding="utf-8"?>
<comments xmlns="http://schemas.openxmlformats.org/spreadsheetml/2006/main">
  <authors>
    <author>Kov?cs B?la</author>
  </authors>
  <commentList>
    <comment ref="P2" authorId="0">
      <text>
        <r>
          <rPr>
            <b/>
            <sz val="8"/>
            <rFont val="Tahoma"/>
            <family val="2"/>
          </rPr>
          <t>Ne piszkáld !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Egy feljövő ablakban meg
kell adni a továbbjutók számát.Az ablakot mozgassd lejjebb,hogy át tudd nézni a táblázatot.
Nézz meg az  " X "-ek
számát,és utána ha a 
versenyvezető által megadott szám egyezik a táblában látottakkal,akkor írd be ugyan azt a számot.
Minden más esetet jelezz
a versenyvezetőnek,aki az adatokat értékelve,
módosíthatja a továbbjutók számát.
A táblázatot a már ismert módon nyomtatsd ki,a jegyzőköny miatt.
A program amegfelelő helyre mozgatja a párokat.Az egyenesen továbbjutókat a középdöntőbe,vagy a döntőbe ( ez az induló párok számától függ ) ,
a többi párost a reményfutamba.
Bármilyen más probléma adódik és nem tudsz továbblépni,keress meg
telefonon.
</t>
        </r>
      </text>
    </comment>
  </commentList>
</comments>
</file>

<file path=xl/comments13.xml><?xml version="1.0" encoding="utf-8"?>
<comments xmlns="http://schemas.openxmlformats.org/spreadsheetml/2006/main">
  <authors>
    <author>Kov?cs B?la</author>
  </authors>
  <commentList>
    <comment ref="F2" authorId="0">
      <text>
        <r>
          <rPr>
            <b/>
            <sz val="9"/>
            <color indexed="10"/>
            <rFont val="Tahoma"/>
            <family val="2"/>
          </rPr>
          <t>Tilos Beleírni,
a gép tölti ki !!!!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Itt nem kell Kitölteni semmit !!!!!!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Az Indulók Száma autómatikusan Töltődik,tilos beleírni !</t>
        </r>
        <r>
          <rPr>
            <sz val="8"/>
            <rFont val="Tahoma"/>
            <family val="2"/>
          </rPr>
          <t xml:space="preserve">
Kattints a sorsolás gombra ,ami elkészíti a Középdöntő reményfutam  sorsolását, és átléptet a következő ablakba.</t>
        </r>
      </text>
    </comment>
  </commentList>
</comments>
</file>

<file path=xl/comments14.xml><?xml version="1.0" encoding="utf-8"?>
<comments xmlns="http://schemas.openxmlformats.org/spreadsheetml/2006/main">
  <authors>
    <author>Kov?cs B?la</author>
  </authors>
  <commentList>
    <comment ref="F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A Reményfutam sorsolása után áttöltött listát berendezi 
2 körös beosztásba , ha
megnyomod a " 2-es körbeosztás" gombot 
Az így elkészült listát lehet kinyomtatni.
Papír takarékosság jegyében a következő lépéseket tedd meg :
Jelöld ki a nyomtatandó
területet , majd klikkelj a
File menü- Set Print Area
menüjére.
Utána a File menü Print
menüjére.
Ha kész vagy,mehetsz az
Kd_r_X lapra.Alul klikkelj rá.</t>
        </r>
      </text>
    </comment>
  </commentList>
</comments>
</file>

<file path=xl/comments15.xml><?xml version="1.0" encoding="utf-8"?>
<comments xmlns="http://schemas.openxmlformats.org/spreadsheetml/2006/main">
  <authors>
    <author>Kov?cs B?la</author>
  </authors>
  <commentList>
    <comment ref="B39" authorId="0">
      <text>
        <r>
          <rPr>
            <sz val="8"/>
            <rFont val="Tahoma"/>
            <family val="2"/>
          </rPr>
          <t>Ha a sorba</t>
        </r>
        <r>
          <rPr>
            <sz val="8"/>
            <color indexed="10"/>
            <rFont val="Tahoma"/>
            <family val="2"/>
          </rPr>
          <t xml:space="preserve"> Hiba</t>
        </r>
        <r>
          <rPr>
            <sz val="8"/>
            <rFont val="Tahoma"/>
            <family val="2"/>
          </rPr>
          <t xml:space="preserve"> jelzés
íródik ki, akkor valamelyik
sorban nagyobb pontszámot ütöttél be mint 40 ! Javítsd ki !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Ha </t>
        </r>
        <r>
          <rPr>
            <b/>
            <sz val="8"/>
            <color indexed="10"/>
            <rFont val="Tahoma"/>
            <family val="2"/>
          </rPr>
          <t>!!!!</t>
        </r>
        <r>
          <rPr>
            <b/>
            <sz val="8"/>
            <rFont val="Tahoma"/>
            <family val="2"/>
          </rPr>
          <t xml:space="preserve"> marad valamelyik cellában,akkor nincs kitöltve minden pontszám ! Ellenörizd át a táblázatot !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sz val="8"/>
            <rFont val="Tahoma"/>
            <family val="2"/>
          </rPr>
          <t xml:space="preserve">Írd be A versenyvezetővel egyeztetett </t>
        </r>
        <r>
          <rPr>
            <sz val="8"/>
            <color indexed="10"/>
            <rFont val="Tahoma"/>
            <family val="2"/>
          </rPr>
          <t>" X "</t>
        </r>
        <r>
          <rPr>
            <sz val="8"/>
            <rFont val="Tahoma"/>
            <family val="2"/>
          </rPr>
          <t xml:space="preserve"> - ek számát 
 ( hányan jussanak tovább )
</t>
        </r>
      </text>
    </comment>
    <comment ref="V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Kovács Béla:
1.Töltsd ki a továbbjutók számát,
   a versenyvezető által megadott
  számmal.( hány  " X " -et osszon
  ki )
A begyüjtött 5 pontozó által kitöltött pontozó lapok adatainak begépelése a rajtszámoknak megfelelően.Figyelj ,hogy a
rajtszámokhoz tartozó pontokat
jó helyre írd.
A rajtszámot a program a sorsolának megfelelően írja be.
A táblázat alján két segítség sor 
jelentése : 
Felső - Ha valamelyik cellába  
           40-nél nagyobb pontszámot
           írtál,Hiba kiírás jelenik meg
           abban az oszlopban.
Alsó - Alapban !!!! látható a 
         sorban. Ha az adott 
         oszlopban kitöltöttél minden  
         cellát,akkor a jel eltűnik.  
Ha kész a táblázat kitöltése, nyomd meg az " X - Számolása "
gombot.A program kiszámolja az
egyes pároknak adott X -eket ,és
összeadja a pontszámokat.
A legkisebb, és legnagyobb pontszám kiesik.
A következő lépésben nyomd meg
a Rendezés gombot.
Ez berendezi a sorrendet,és átléptet a következő lapra
 ( Kd_r_tov).</t>
        </r>
      </text>
    </comment>
  </commentList>
</comments>
</file>

<file path=xl/comments16.xml><?xml version="1.0" encoding="utf-8"?>
<comments xmlns="http://schemas.openxmlformats.org/spreadsheetml/2006/main">
  <authors>
    <author>Kov?cs B?la</author>
  </authors>
  <commentList>
    <comment ref="P2" authorId="0">
      <text>
        <r>
          <rPr>
            <b/>
            <sz val="8"/>
            <rFont val="Tahoma"/>
            <family val="2"/>
          </rPr>
          <t>Ne piszkáld !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Egy feljövő ablakban meg
kell adni a továbbjutók számát.Az ablakot mozgassd lejjebb,hogy át tudd nézni a táblázatot.
Nézz meg az  " X "-ek
számát,és utána ha a 
versenyvezető által megadott szám egyezik a táblában látottakkal,akkor írd be ugyan azt a számot.
Minden más esetet jelezz
a versenyvezetőnek,aki az adatokat értékelve,
módosíthatja a továbbjutók számát.
A táblázatot a már ismert módon nyomtatsd ki,a jegyzőköny miatt.
A program amegfelelő helyre mozgatja a párokat.Az egyenesen továbbjutókat a középdöntőbe,vagy a döntőbe ( ez az induló párok számától függ ) ,
a többi párost a reményfutamba.
Bármilyen más probléma adódik és nem tudsz továbblépni,keress meg
telefonon.
</t>
        </r>
      </text>
    </comment>
  </commentList>
</comments>
</file>

<file path=xl/comments17.xml><?xml version="1.0" encoding="utf-8"?>
<comments xmlns="http://schemas.openxmlformats.org/spreadsheetml/2006/main">
  <authors>
    <author>Kov?cs B?la</author>
  </authors>
  <commentList>
    <comment ref="F2" authorId="0">
      <text>
        <r>
          <rPr>
            <b/>
            <sz val="9"/>
            <color indexed="10"/>
            <rFont val="Tahoma"/>
            <family val="2"/>
          </rPr>
          <t>Tilos Beleírni,
a gép tölti ki !!!!</t>
        </r>
      </text>
    </comment>
    <comment ref="H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Ha szeretnéd, hogy a döntőben 
résztvevők indulási sorrendje
Sorsolás utján legyen, nyomd meg
a Sorsolás gombot.
</t>
        </r>
        <r>
          <rPr>
            <sz val="8"/>
            <color indexed="10"/>
            <rFont val="Tahoma"/>
            <family val="2"/>
          </rPr>
          <t xml:space="preserve">Ellenkező esetben ne csinálj semmit, lépj át a Dont_rajtl oldalra. </t>
        </r>
      </text>
    </comment>
  </commentList>
</comments>
</file>

<file path=xl/comments18.xml><?xml version="1.0" encoding="utf-8"?>
<comments xmlns="http://schemas.openxmlformats.org/spreadsheetml/2006/main">
  <authors>
    <author>Kov?cs B?la</author>
  </authors>
  <commentList>
    <comment ref="F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Nem kell kitölteni semmit.
Nyomtatsd ki a már ismert módon az oldalt.</t>
        </r>
      </text>
    </comment>
  </commentList>
</comments>
</file>

<file path=xl/comments19.xml><?xml version="1.0" encoding="utf-8"?>
<comments xmlns="http://schemas.openxmlformats.org/spreadsheetml/2006/main">
  <authors>
    <author>Peter SZALMA</author>
    <author>Kov?cs B?la</author>
  </authors>
  <commentList>
    <comment ref="M17" authorId="0">
      <text>
        <r>
          <rPr>
            <sz val="8"/>
            <rFont val="Tahoma"/>
            <family val="2"/>
          </rPr>
          <t>Az azonos táblák kiosztását figyeli</t>
        </r>
      </text>
    </comment>
    <comment ref="M18" authorId="0">
      <text>
        <r>
          <rPr>
            <sz val="8"/>
            <rFont val="Tahoma"/>
            <family val="2"/>
          </rPr>
          <t>A túl nagy táblák kiosztását figyeli (Pl: 6 döntős esetén valaki 7-es táblát mutat fel)</t>
        </r>
      </text>
    </comment>
    <comment ref="F20" authorId="1">
      <text>
        <r>
          <rPr>
            <b/>
            <sz val="8"/>
            <color indexed="10"/>
            <rFont val="Tahoma"/>
            <family val="2"/>
          </rPr>
          <t>Tilos beleírni !!!!!</t>
        </r>
        <r>
          <rPr>
            <b/>
            <sz val="8"/>
            <rFont val="Tahoma"/>
            <family val="2"/>
          </rPr>
          <t xml:space="preserve">
Különben számolhatsz kézzel !</t>
        </r>
      </text>
    </comment>
    <comment ref="CK1" authorId="1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Értelemszerűen a keretezett részben a rajtszámokhoz megfelelő helyezési számot
gépeld be. A program figyeli hogy helyezési számokat ne lehessen kétszer
beadni ( HELP ),illetve a döntő résztvevőinek számánál nagyobb helyezést adni .
</t>
        </r>
        <r>
          <rPr>
            <sz val="8"/>
            <color indexed="10"/>
            <rFont val="Tahoma"/>
            <family val="2"/>
          </rPr>
          <t xml:space="preserve">Minden más cella kitöltése  tilos !
</t>
        </r>
        <r>
          <rPr>
            <sz val="8"/>
            <rFont val="Tahoma"/>
            <family val="2"/>
          </rPr>
          <t>Ha teljesen kitöltötted a táblázatot,a program kiszámolja a helyezéseket.
Ha ellenőrizted a számolás helyességét,
Tovább léphetsz a Gyors _Skating-hez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Kov?cs B?la</author>
  </authors>
  <commentList>
    <comment ref="F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A Rajtlistáról sorsolás után áttöltött listát berendezi 
2 körös beosztásba , ha
megnyomod a " 2-es körbeosztás" gombot 
Az így elkészült listát lehet kinyomtatni.
Papír takarékosság jegyében a következő lépéseket tedd meg :
Jelöld ki a nyomtatandó
területet , majd klikkelj a
File menü- Set Print Area
menüjére.
Utána a File menü Print
menüjére.
Ha kész vagy,mehetsz az
ED-X lapra.Alul klikkelj rá.</t>
        </r>
      </text>
    </comment>
  </commentList>
</comments>
</file>

<file path=xl/comments20.xml><?xml version="1.0" encoding="utf-8"?>
<comments xmlns="http://schemas.openxmlformats.org/spreadsheetml/2006/main">
  <authors>
    <author>Kov?cs B?la</author>
    <author>Peter SZALMA</author>
  </authors>
  <commentList>
    <comment ref="F20" authorId="0">
      <text>
        <r>
          <rPr>
            <b/>
            <sz val="8"/>
            <color indexed="10"/>
            <rFont val="Tahoma"/>
            <family val="2"/>
          </rPr>
          <t>Tilos beleírni !!!!!</t>
        </r>
        <r>
          <rPr>
            <b/>
            <sz val="8"/>
            <rFont val="Tahoma"/>
            <family val="2"/>
          </rPr>
          <t xml:space="preserve">
Különben számolhatsz kézzel !</t>
        </r>
      </text>
    </comment>
    <comment ref="M17" authorId="1">
      <text>
        <r>
          <rPr>
            <b/>
            <sz val="8"/>
            <rFont val="Tahoma"/>
            <family val="2"/>
          </rPr>
          <t>Peter SZALMA:</t>
        </r>
        <r>
          <rPr>
            <sz val="8"/>
            <rFont val="Tahoma"/>
            <family val="2"/>
          </rPr>
          <t xml:space="preserve">
Az azonos táblák kiosztását figyeli</t>
        </r>
      </text>
    </comment>
    <comment ref="M18" authorId="1">
      <text>
        <r>
          <rPr>
            <b/>
            <sz val="8"/>
            <rFont val="Tahoma"/>
            <family val="2"/>
          </rPr>
          <t>Peter SZALMA:</t>
        </r>
        <r>
          <rPr>
            <sz val="8"/>
            <rFont val="Tahoma"/>
            <family val="2"/>
          </rPr>
          <t xml:space="preserve">
A túl nagy táblák kiosztását figyeli (Pl: 6 döntős esetén valaki 7-es táblát mutat fel)</t>
        </r>
      </text>
    </comment>
    <comment ref="DC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Értelemszerűen a keretezett részben a rajtszámokhoz megfelelő helyezési számot
gépeld be. A program figyeli hogy helyezési számokat ne lehessen kétszer
beadni ( HELP ),illetve a döntő résztvevőinek számánál nagyobb helyezést adni .
</t>
        </r>
        <r>
          <rPr>
            <sz val="8"/>
            <color indexed="10"/>
            <rFont val="Tahoma"/>
            <family val="2"/>
          </rPr>
          <t xml:space="preserve">Minden más cella kitöltése  tilos !
</t>
        </r>
        <r>
          <rPr>
            <sz val="8"/>
            <rFont val="Tahoma"/>
            <family val="2"/>
          </rPr>
          <t>Ha teljesen kitöltötted a táblázatot,a program kiszámolja a helyezéseket.
Ha ellenőrizted a számolás helyességét,
Nyomd meg az Összesítés gombot.
A program kiszámolja a két forduló eredményét,és elkészíti a végeredményt.</t>
        </r>
        <r>
          <rPr>
            <sz val="8"/>
            <color indexed="10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Kov?cs B?la</author>
  </authors>
  <commentList>
    <comment ref="K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Nincs semmi tennivaló !
Csak ellenőrizd az összesítést !</t>
        </r>
      </text>
    </comment>
  </commentList>
</comments>
</file>

<file path=xl/comments22.xml><?xml version="1.0" encoding="utf-8"?>
<comments xmlns="http://schemas.openxmlformats.org/spreadsheetml/2006/main">
  <authors>
    <author>Kov?cs B?la</author>
  </authors>
  <commentList>
    <comment ref="G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Vége a versenynek .
Nyomtasd ki a már ismert módon a végeredményt.</t>
        </r>
      </text>
    </comment>
  </commentList>
</comments>
</file>

<file path=xl/comments3.xml><?xml version="1.0" encoding="utf-8"?>
<comments xmlns="http://schemas.openxmlformats.org/spreadsheetml/2006/main">
  <authors>
    <author>Kov?cs B?la</author>
  </authors>
  <commentList>
    <comment ref="B39" authorId="0">
      <text>
        <r>
          <rPr>
            <sz val="8"/>
            <rFont val="Tahoma"/>
            <family val="2"/>
          </rPr>
          <t>Ha a sorba</t>
        </r>
        <r>
          <rPr>
            <sz val="8"/>
            <color indexed="10"/>
            <rFont val="Tahoma"/>
            <family val="2"/>
          </rPr>
          <t xml:space="preserve"> Hiba</t>
        </r>
        <r>
          <rPr>
            <sz val="8"/>
            <rFont val="Tahoma"/>
            <family val="2"/>
          </rPr>
          <t xml:space="preserve"> jelzés
íródik ki, akkor valamelyik
sorban nagyobb pontszámot ütöttél be mint 40 ! Javítsd ki !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Ha </t>
        </r>
        <r>
          <rPr>
            <b/>
            <sz val="8"/>
            <color indexed="10"/>
            <rFont val="Tahoma"/>
            <family val="2"/>
          </rPr>
          <t>!!!!</t>
        </r>
        <r>
          <rPr>
            <b/>
            <sz val="8"/>
            <rFont val="Tahoma"/>
            <family val="2"/>
          </rPr>
          <t xml:space="preserve"> marad valamelyik cellában,akkor nincs kitöltve minden pontszám ! Ellenörizd át a táblázatot !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Írd be A versenyvezetővel egyeztetett </t>
        </r>
        <r>
          <rPr>
            <b/>
            <sz val="8"/>
            <color indexed="10"/>
            <rFont val="Tahoma"/>
            <family val="2"/>
          </rPr>
          <t>" X "</t>
        </r>
        <r>
          <rPr>
            <b/>
            <sz val="8"/>
            <rFont val="Tahoma"/>
            <family val="2"/>
          </rPr>
          <t xml:space="preserve"> - ek számát 
 ( hányan jussanak tovább )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1.Töltsd ki a továbbjutók számát,
   a versenyvezető által megadott
  számmal.( hány  " X " -et osszon
  ki )
A begyüjtött 5 pontozó által kitöltött pontozó lapok adatainak begépelése a rajtszámoknak megfelelően.Figyelj ,hogy a
rajtszámokhoz tartozó pontokat
jó helyre írd.
A rajtszámot a program a sorsolának megfelelően írja be.
A táblázat alján két segítség sor 
jelentése : 
Felső - Ha valamelyik cellába  
           40-nél nagyobb pontszámot
           írtál,</t>
        </r>
        <r>
          <rPr>
            <sz val="8"/>
            <color indexed="10"/>
            <rFont val="Tahoma"/>
            <family val="2"/>
          </rPr>
          <t>Hiba</t>
        </r>
        <r>
          <rPr>
            <sz val="8"/>
            <rFont val="Tahoma"/>
            <family val="2"/>
          </rPr>
          <t xml:space="preserve"> kiírás jelenik meg
           abban az oszlopban.
Alsó - Alapban </t>
        </r>
        <r>
          <rPr>
            <sz val="8"/>
            <color indexed="10"/>
            <rFont val="Tahoma"/>
            <family val="2"/>
          </rPr>
          <t>!!!!</t>
        </r>
        <r>
          <rPr>
            <sz val="8"/>
            <rFont val="Tahoma"/>
            <family val="2"/>
          </rPr>
          <t xml:space="preserve"> látható a 
         sorban. Ha az adott 
         oszlopban kitöltöttél minden  
         cellát,akkor a jel eltűnik.  
Ha kész a táblázat kitöltése, nyomd meg az " X - Számolása "
gombot.A program kiszámolja az
egyes pároknak adott X -eket ,és
összeadja a pontszámokat.
A legkisebb, és legnagyobb pontszám kiesik.
A következő lépésben nyomd meg
a Rendezés gombot.
Ez berendezi a sorrendet,és átléptet a következő lapra
 ( Ed_tov).</t>
        </r>
      </text>
    </comment>
  </commentList>
</comments>
</file>

<file path=xl/comments4.xml><?xml version="1.0" encoding="utf-8"?>
<comments xmlns="http://schemas.openxmlformats.org/spreadsheetml/2006/main">
  <authors>
    <author>Kov?cs B?la</author>
  </authors>
  <commentList>
    <comment ref="P2" authorId="0">
      <text>
        <r>
          <rPr>
            <b/>
            <sz val="8"/>
            <rFont val="Tahoma"/>
            <family val="2"/>
          </rPr>
          <t>Ne piszkáld !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Egy feljövő ablakban meg
kell adni a továbbjutók számát.Az ablakot mozgassd lejjebb,hogy át tudd nézni a táblázatot.
Nézz meg az  " X "-ek
számát,és utána ha a 
versenyvezető által megadott szám egyezik a táblában látottakkal,akkor írd be ugyan azt a számot.
Minden más esetet jelezz
a versenyvezetőnek,aki az adatokat értékelve,
módosíthatja a továbbjutók számát.
A táblázatot a már ismert módon nyomtatsd ki,a jegyzőköny miatt.
A program amegfelelő helyre mozgatja a párokat.Az egyenesen továbbjutókat a középdöntőbe,vagy a döntőbe ( ez az induló párok számától függ ) ,
a többi párost a reményfutamba.
Bármilyen más probléma adódik és nem tudsz továbblépni,keress meg
telefonon.
A további lépések a már ismert módon történnek.</t>
        </r>
      </text>
    </comment>
  </commentList>
</comments>
</file>

<file path=xl/comments5.xml><?xml version="1.0" encoding="utf-8"?>
<comments xmlns="http://schemas.openxmlformats.org/spreadsheetml/2006/main">
  <authors>
    <author>Kov?cs B?la</author>
  </authors>
  <commentList>
    <comment ref="F2" authorId="0">
      <text>
        <r>
          <rPr>
            <b/>
            <sz val="8"/>
            <color indexed="10"/>
            <rFont val="Tahoma"/>
            <family val="2"/>
          </rPr>
          <t>Tilos Beleírni,
a gép tölti ki !!!!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Itt nem kell Kitölteni semmit !!!!!!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Az Indulók Száma autómatikusan Töltődik,tilos beleírni !</t>
        </r>
        <r>
          <rPr>
            <sz val="8"/>
            <rFont val="Tahoma"/>
            <family val="2"/>
          </rPr>
          <t xml:space="preserve">
Kattints a sorsolás gombra ,ami elkészíti a remény futam sorsolását,és átléptet a következő
ablakba.
</t>
        </r>
      </text>
    </comment>
  </commentList>
</comments>
</file>

<file path=xl/comments6.xml><?xml version="1.0" encoding="utf-8"?>
<comments xmlns="http://schemas.openxmlformats.org/spreadsheetml/2006/main">
  <authors>
    <author>Kov?cs B?la</author>
  </authors>
  <commentList>
    <comment ref="F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A Reményfutam sorsolása után áttöltött listát berendezi 
2 körös beosztásba , ha
megnyomod a " 2-es körbeosztás" gombot 
Az így elkészült listát lehet kinyomtatni.
Papír takarékosság jegyében a következő lépéseket tedd meg :
Jelöld ki a nyomtatandó
területet , majd klikkelj a
File menü- Set Print Area
menüjére.
Utána a File menü Print
menüjére.
Ha kész vagy,mehetsz az
R_fut_X lapra.Alul klikkelj rá.</t>
        </r>
      </text>
    </comment>
  </commentList>
</comments>
</file>

<file path=xl/comments7.xml><?xml version="1.0" encoding="utf-8"?>
<comments xmlns="http://schemas.openxmlformats.org/spreadsheetml/2006/main">
  <authors>
    <author>Kov?cs B?la</author>
  </authors>
  <commentList>
    <comment ref="B39" authorId="0">
      <text>
        <r>
          <rPr>
            <sz val="8"/>
            <rFont val="Tahoma"/>
            <family val="2"/>
          </rPr>
          <t>Ha a sorba</t>
        </r>
        <r>
          <rPr>
            <sz val="8"/>
            <color indexed="10"/>
            <rFont val="Tahoma"/>
            <family val="2"/>
          </rPr>
          <t xml:space="preserve"> Hiba</t>
        </r>
        <r>
          <rPr>
            <sz val="8"/>
            <rFont val="Tahoma"/>
            <family val="2"/>
          </rPr>
          <t xml:space="preserve"> jelzés
íródik ki, akkor valamelyik
sorban nagyobb pontszámot ütöttél be mint 40 ! Javítsd ki !
</t>
        </r>
      </text>
    </comment>
    <comment ref="B41" authorId="0">
      <text>
        <r>
          <rPr>
            <b/>
            <sz val="8"/>
            <rFont val="Tahoma"/>
            <family val="2"/>
          </rPr>
          <t xml:space="preserve">Ha </t>
        </r>
        <r>
          <rPr>
            <b/>
            <sz val="8"/>
            <color indexed="10"/>
            <rFont val="Tahoma"/>
            <family val="2"/>
          </rPr>
          <t>!!!!</t>
        </r>
        <r>
          <rPr>
            <b/>
            <sz val="8"/>
            <rFont val="Tahoma"/>
            <family val="2"/>
          </rPr>
          <t xml:space="preserve"> marad valamelyik cellában,akkor nincs kitöltve minden pontszám ! Ellenörizd át a táblázatot ! </t>
        </r>
        <r>
          <rPr>
            <sz val="8"/>
            <rFont val="Tahoma"/>
            <family val="2"/>
          </rPr>
          <t xml:space="preserve">
</t>
        </r>
      </text>
    </comment>
    <comment ref="E2" authorId="0">
      <text>
        <r>
          <rPr>
            <b/>
            <sz val="8"/>
            <rFont val="Tahoma"/>
            <family val="2"/>
          </rPr>
          <t xml:space="preserve">Írd be A versenyvezetővel egyeztetett </t>
        </r>
        <r>
          <rPr>
            <b/>
            <sz val="8"/>
            <color indexed="10"/>
            <rFont val="Tahoma"/>
            <family val="2"/>
          </rPr>
          <t>" X "</t>
        </r>
        <r>
          <rPr>
            <b/>
            <sz val="8"/>
            <rFont val="Tahoma"/>
            <family val="2"/>
          </rPr>
          <t xml:space="preserve"> - ek számát 
 ( hányan jussanak tovább )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Kovács Béla:
1.Töltsd ki a továbbjutók számát,
   a versenyvezető által megadott
  számmal.( hány  " X " -et osszon
  ki )
A begyüjtött 5 pontozó által kitöltött pontozó lapok adatainak begépelése a rajtszámoknak megfelelően.Figyelj ,hogy a
rajtszámokhoz tartozó pontokat
jó helyre írd.
A rajtszámot a program a sorsolának megfelelően írja be.
A táblázat alján két segítség sor 
jelentése : 
Felső - Ha valamelyik cellába  
           40-nél nagyobb pontszámot
           írtál,Hiba kiírás jelenik meg
           abban az oszlopban.
Alsó - Alapban !!!! látható a 
         sorban. Ha az adott 
         oszlopban kitöltöttél minden  
         cellát,akkor a jel eltűnik.  
Ha kész a táblázat kitöltése, nyomd meg az " X - Számolása "
gombot.A program kiszámolja az
egyes pároknak adott X -eket ,és
összeadja a pontszámokat.
A legkisebb, és legnagyobb pontszám kiesik.
A következő lépésben nyomd meg
a Rendezés gombot.
Ez berendezi a sorrendet,és átléptet a következő lapra
 ( R_fut_tov).</t>
        </r>
      </text>
    </comment>
  </commentList>
</comments>
</file>

<file path=xl/comments8.xml><?xml version="1.0" encoding="utf-8"?>
<comments xmlns="http://schemas.openxmlformats.org/spreadsheetml/2006/main">
  <authors>
    <author>Kov?cs B?la</author>
  </authors>
  <commentList>
    <comment ref="P2" authorId="0">
      <text>
        <r>
          <rPr>
            <b/>
            <sz val="8"/>
            <rFont val="Tahoma"/>
            <family val="2"/>
          </rPr>
          <t>Ne piszkáld !</t>
        </r>
      </text>
    </comment>
    <comment ref="T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Egy feljövő ablakban meg
kell adni a továbbjutók számát.Az ablakot mozgassd lejjebb,hogy át tudd nézni a táblázatot.
Nézz meg az  " X "-ek
számát,és utána ha a 
versenyvezető által megadott szám egyezik a táblában látottakkal,akkor írd be ugyan azt a számot.
Minden más esetet jelezz
a versenyvezetőnek,aki az adatokat értékelve,
módosíthatja a továbbjutók számát.
A táblázatot a már ismert módon nyomtatsd ki,a jegyzőköny miatt.
A program amegfelelő helyre mozgatja a párokat.Az egyenesen továbbjutókat a középdöntőbe,vagy a döntőbe ( ez az induló párok számától függ ) ,
a többi párost a reményfutamba.
Bármilyen más probléma adódik és nem tudsz továbblépni,keress meg
telefonon.
A további lépések a már ismert módon történnek.</t>
        </r>
      </text>
    </comment>
  </commentList>
</comments>
</file>

<file path=xl/comments9.xml><?xml version="1.0" encoding="utf-8"?>
<comments xmlns="http://schemas.openxmlformats.org/spreadsheetml/2006/main">
  <authors>
    <author>Kov?cs B?la</author>
  </authors>
  <commentList>
    <comment ref="F2" authorId="0">
      <text>
        <r>
          <rPr>
            <b/>
            <sz val="9"/>
            <color indexed="10"/>
            <rFont val="Tahoma"/>
            <family val="2"/>
          </rPr>
          <t>Tilos Beleírni,
a gép tölti ki !!!!</t>
        </r>
        <r>
          <rPr>
            <sz val="8"/>
            <rFont val="Tahoma"/>
            <family val="2"/>
          </rPr>
          <t xml:space="preserve">
</t>
        </r>
      </text>
    </comment>
    <comment ref="H1" authorId="0">
      <text>
        <r>
          <rPr>
            <b/>
            <sz val="8"/>
            <rFont val="Tahoma"/>
            <family val="2"/>
          </rPr>
          <t>Kovács Béla: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Itt nem kell Kitölteni semmit !!!!!!</t>
        </r>
        <r>
          <rPr>
            <sz val="8"/>
            <rFont val="Tahoma"/>
            <family val="2"/>
          </rPr>
          <t xml:space="preserve">
</t>
        </r>
        <r>
          <rPr>
            <sz val="8"/>
            <color indexed="10"/>
            <rFont val="Tahoma"/>
            <family val="2"/>
          </rPr>
          <t>Az Indulók Száma autómatikusan Töltődik,tilos beleírni !</t>
        </r>
        <r>
          <rPr>
            <sz val="8"/>
            <rFont val="Tahoma"/>
            <family val="2"/>
          </rPr>
          <t xml:space="preserve">
Kattints a sorsolás gombra ,ami elkészíti aKözépdöntő sorsolását, és átléptet a következő ablakba.
</t>
        </r>
      </text>
    </comment>
  </commentList>
</comments>
</file>

<file path=xl/sharedStrings.xml><?xml version="1.0" encoding="utf-8"?>
<sst xmlns="http://schemas.openxmlformats.org/spreadsheetml/2006/main" count="385" uniqueCount="107">
  <si>
    <t>Rajtszám</t>
  </si>
  <si>
    <t>Név</t>
  </si>
  <si>
    <t>Klub</t>
  </si>
  <si>
    <t>Kategória  :</t>
  </si>
  <si>
    <t>Indulók Száma</t>
  </si>
  <si>
    <t>Kör</t>
  </si>
  <si>
    <t xml:space="preserve">Kategória : </t>
  </si>
  <si>
    <t>Boogie - Woogie</t>
  </si>
  <si>
    <t>A</t>
  </si>
  <si>
    <t>B</t>
  </si>
  <si>
    <t>C</t>
  </si>
  <si>
    <t>D</t>
  </si>
  <si>
    <t>E</t>
  </si>
  <si>
    <t>Bíró</t>
  </si>
  <si>
    <t>Továbbjutók száma :</t>
  </si>
  <si>
    <t xml:space="preserve">     Elődöntő rajtlista</t>
  </si>
  <si>
    <t>x</t>
  </si>
  <si>
    <t>Legn</t>
  </si>
  <si>
    <t>Legk</t>
  </si>
  <si>
    <t xml:space="preserve">X - ek </t>
  </si>
  <si>
    <t>X -ek</t>
  </si>
  <si>
    <t>Összpont</t>
  </si>
  <si>
    <t xml:space="preserve">    Reményfutam_1 rajtlista</t>
  </si>
  <si>
    <t xml:space="preserve">Kategória      : </t>
  </si>
  <si>
    <t>Összpont.</t>
  </si>
  <si>
    <t xml:space="preserve">    Középdöntő  rajtlista</t>
  </si>
  <si>
    <t>Döntő sorsolás</t>
  </si>
  <si>
    <t>Középdöntő sorsolás</t>
  </si>
  <si>
    <t>Reményfutam sorsolás</t>
  </si>
  <si>
    <t>Középd.Reményf. sorsolás</t>
  </si>
  <si>
    <t>Kategória:</t>
  </si>
  <si>
    <t>Skating:</t>
  </si>
  <si>
    <t>R.sz.</t>
  </si>
  <si>
    <t>F</t>
  </si>
  <si>
    <t>G</t>
  </si>
  <si>
    <t>1-2</t>
  </si>
  <si>
    <t>1-3</t>
  </si>
  <si>
    <t>1-4</t>
  </si>
  <si>
    <t>1-5</t>
  </si>
  <si>
    <t>1-6</t>
  </si>
  <si>
    <t>1-7</t>
  </si>
  <si>
    <t>Hely</t>
  </si>
  <si>
    <t>Egyesület</t>
  </si>
  <si>
    <t>HELP</t>
  </si>
  <si>
    <t>Döntősök száma:</t>
  </si>
  <si>
    <t>1.</t>
  </si>
  <si>
    <t>2.</t>
  </si>
  <si>
    <t>3.</t>
  </si>
  <si>
    <t>4.</t>
  </si>
  <si>
    <t>5.</t>
  </si>
  <si>
    <t>6.</t>
  </si>
  <si>
    <t>7.</t>
  </si>
  <si>
    <t>Végeredmény</t>
  </si>
  <si>
    <t>Helyezés</t>
  </si>
  <si>
    <t>Pont</t>
  </si>
  <si>
    <t>Középdöntő reményfutam  rajtlista</t>
  </si>
  <si>
    <t xml:space="preserve">          Döntő  rajtlista</t>
  </si>
  <si>
    <t>Lassú_döntő</t>
  </si>
  <si>
    <t>Gyors_döntő</t>
  </si>
  <si>
    <t>Különbség</t>
  </si>
  <si>
    <t>Összeg</t>
  </si>
  <si>
    <t>Lassú_Boogie - Döntő</t>
  </si>
  <si>
    <t>A Lassú döntő végeredménye:</t>
  </si>
  <si>
    <t>A Gyors döntő végeredménye:</t>
  </si>
  <si>
    <t>Gyors -Boogie - Döntő</t>
  </si>
  <si>
    <t>R</t>
  </si>
  <si>
    <t>név</t>
  </si>
  <si>
    <t>klub</t>
  </si>
  <si>
    <t>Középdöntő Reményfutam Összesítés</t>
  </si>
  <si>
    <t>Középdöntő összesítés</t>
  </si>
  <si>
    <t>Középdöntő X-ek.</t>
  </si>
  <si>
    <t xml:space="preserve"> Elődöntő összesítés</t>
  </si>
  <si>
    <t>Reményfutam  X-ek.</t>
  </si>
  <si>
    <t>Elődöntő számolás - X-ek.</t>
  </si>
  <si>
    <t>ÖSSZ</t>
  </si>
  <si>
    <t>m.előzött</t>
  </si>
  <si>
    <t>e.döntő</t>
  </si>
  <si>
    <t>k.döntő</t>
  </si>
  <si>
    <t>döntő</t>
  </si>
  <si>
    <t>1. Hely</t>
  </si>
  <si>
    <t>2. Hely</t>
  </si>
  <si>
    <t>3. Hely</t>
  </si>
  <si>
    <t>Összesítés Lassú-Gyors</t>
  </si>
  <si>
    <t>Rajtlista</t>
  </si>
  <si>
    <t>Lassú</t>
  </si>
  <si>
    <t>Gyors</t>
  </si>
  <si>
    <t>Reményfutam összesítés</t>
  </si>
  <si>
    <t>osszes</t>
  </si>
  <si>
    <t>Segítség</t>
  </si>
  <si>
    <t>Hiba</t>
  </si>
  <si>
    <t>Fordulók Száma</t>
  </si>
  <si>
    <t>a</t>
  </si>
  <si>
    <t>c</t>
  </si>
  <si>
    <t>d</t>
  </si>
  <si>
    <t>f</t>
  </si>
  <si>
    <t>g</t>
  </si>
  <si>
    <t>h</t>
  </si>
  <si>
    <t>m</t>
  </si>
  <si>
    <t>j</t>
  </si>
  <si>
    <t>CSERÉP János - VIRÁG Éva</t>
  </si>
  <si>
    <t>DÁNIEL Balázs - KELEMEN Patrícia</t>
  </si>
  <si>
    <t>SCHMIDT Gábor - SCHMIDT-VACHTLER Erzsébet</t>
  </si>
  <si>
    <t>PETŐ Gábor - PETŐ Adrienn</t>
  </si>
  <si>
    <t>DancEarth TSE, Bp</t>
  </si>
  <si>
    <t>Platina TSE, Győr</t>
  </si>
  <si>
    <t>RÓK And Roll, Bp</t>
  </si>
  <si>
    <t>BUJÁKI János - Korda Julia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</si>
</sst>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00"/>
  </numFmts>
  <fonts count="85">
    <font>
      <sz val="10"/>
      <name val="Arial"/>
      <family val="0"/>
    </font>
    <font>
      <b/>
      <sz val="8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6"/>
      <name val="Times New Roman CE"/>
      <family val="1"/>
    </font>
    <font>
      <b/>
      <sz val="20"/>
      <name val="Times New Roman CE"/>
      <family val="1"/>
    </font>
    <font>
      <sz val="8"/>
      <name val="Times New Roman CE"/>
      <family val="1"/>
    </font>
    <font>
      <sz val="16"/>
      <name val="Times New Roman CE"/>
      <family val="1"/>
    </font>
    <font>
      <sz val="14"/>
      <name val="Times New Roman CE"/>
      <family val="1"/>
    </font>
    <font>
      <u val="single"/>
      <sz val="20"/>
      <name val="Times New Roman CE"/>
      <family val="1"/>
    </font>
    <font>
      <sz val="10"/>
      <name val="MS Sans Serif"/>
      <family val="2"/>
    </font>
    <font>
      <sz val="18"/>
      <name val="Times New Roman CE"/>
      <family val="1"/>
    </font>
    <font>
      <sz val="20"/>
      <name val="Times New Roman CE"/>
      <family val="1"/>
    </font>
    <font>
      <sz val="12"/>
      <name val="Times New Roman CE"/>
      <family val="1"/>
    </font>
    <font>
      <sz val="20"/>
      <color indexed="15"/>
      <name val="Times New Roman CE"/>
      <family val="1"/>
    </font>
    <font>
      <b/>
      <i/>
      <sz val="14"/>
      <color indexed="13"/>
      <name val="Times New Roman CE"/>
      <family val="1"/>
    </font>
    <font>
      <b/>
      <u val="single"/>
      <sz val="14"/>
      <name val="Times New Roman CE"/>
      <family val="1"/>
    </font>
    <font>
      <b/>
      <u val="single"/>
      <sz val="10"/>
      <name val="Times New Roman CE"/>
      <family val="1"/>
    </font>
    <font>
      <sz val="24"/>
      <name val="Times New Roman CE"/>
      <family val="1"/>
    </font>
    <font>
      <b/>
      <sz val="8"/>
      <name val="Tahoma"/>
      <family val="2"/>
    </font>
    <font>
      <sz val="8"/>
      <name val="Tahoma"/>
      <family val="2"/>
    </font>
    <font>
      <sz val="40"/>
      <name val="Times New Roman CE"/>
      <family val="1"/>
    </font>
    <font>
      <sz val="32"/>
      <name val="Times New Roman CE"/>
      <family val="1"/>
    </font>
    <font>
      <b/>
      <sz val="14"/>
      <color indexed="8"/>
      <name val="Times New Roman CE"/>
      <family val="1"/>
    </font>
    <font>
      <sz val="24"/>
      <name val="Arial"/>
      <family val="2"/>
    </font>
    <font>
      <sz val="14"/>
      <name val="Arial"/>
      <family val="2"/>
    </font>
    <font>
      <sz val="13.5"/>
      <name val="Times New Roman CE"/>
      <family val="1"/>
    </font>
    <font>
      <sz val="18"/>
      <name val="Arial"/>
      <family val="2"/>
    </font>
    <font>
      <sz val="22"/>
      <name val="Times New Roman CE"/>
      <family val="1"/>
    </font>
    <font>
      <b/>
      <sz val="22"/>
      <name val="Times New Roman CE"/>
      <family val="1"/>
    </font>
    <font>
      <b/>
      <sz val="10"/>
      <name val="Arial CE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Times New Roman CE"/>
      <family val="1"/>
    </font>
    <font>
      <b/>
      <sz val="10"/>
      <color indexed="10"/>
      <name val="Times New Roman CE"/>
      <family val="0"/>
    </font>
    <font>
      <sz val="8"/>
      <color indexed="10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2"/>
      <color indexed="10"/>
      <name val="Times New Roman CE"/>
      <family val="1"/>
    </font>
    <font>
      <sz val="8"/>
      <color indexed="48"/>
      <name val="Tahoma"/>
      <family val="2"/>
    </font>
    <font>
      <b/>
      <i/>
      <sz val="8"/>
      <color indexed="10"/>
      <name val="Times New Roman CE"/>
      <family val="0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bgColor indexed="9"/>
      </patternFill>
    </fill>
    <fill>
      <patternFill patternType="gray125">
        <bgColor indexed="9"/>
      </patternFill>
    </fill>
    <fill>
      <patternFill patternType="solid">
        <fgColor indexed="44"/>
        <bgColor indexed="64"/>
      </patternFill>
    </fill>
    <fill>
      <patternFill patternType="lightGray"/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0" fillId="22" borderId="7" applyNumberFormat="0" applyFont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7" fillId="29" borderId="0" applyNumberFormat="0" applyBorder="0" applyAlignment="0" applyProtection="0"/>
    <xf numFmtId="0" fontId="78" fillId="30" borderId="8" applyNumberFormat="0" applyAlignment="0" applyProtection="0"/>
    <xf numFmtId="0" fontId="3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2" fillId="0" borderId="0">
      <alignment/>
      <protection/>
    </xf>
    <xf numFmtId="0" fontId="8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31" borderId="0" applyNumberFormat="0" applyBorder="0" applyAlignment="0" applyProtection="0"/>
    <xf numFmtId="0" fontId="82" fillId="32" borderId="0" applyNumberFormat="0" applyBorder="0" applyAlignment="0" applyProtection="0"/>
    <xf numFmtId="0" fontId="83" fillId="30" borderId="1" applyNumberFormat="0" applyAlignment="0" applyProtection="0"/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4" borderId="12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5" borderId="15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5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4" fillId="36" borderId="20" xfId="0" applyFont="1" applyFill="1" applyBorder="1" applyAlignment="1">
      <alignment horizontal="center"/>
    </xf>
    <xf numFmtId="0" fontId="4" fillId="36" borderId="21" xfId="0" applyFont="1" applyFill="1" applyBorder="1" applyAlignment="1">
      <alignment/>
    </xf>
    <xf numFmtId="0" fontId="4" fillId="36" borderId="22" xfId="0" applyFont="1" applyFill="1" applyBorder="1" applyAlignment="1">
      <alignment/>
    </xf>
    <xf numFmtId="0" fontId="5" fillId="0" borderId="0" xfId="0" applyFont="1" applyAlignment="1">
      <alignment/>
    </xf>
    <xf numFmtId="0" fontId="4" fillId="35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5" fillId="37" borderId="12" xfId="0" applyFont="1" applyFill="1" applyBorder="1" applyAlignment="1">
      <alignment/>
    </xf>
    <xf numFmtId="0" fontId="5" fillId="37" borderId="19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1" fillId="38" borderId="0" xfId="56" applyFont="1" applyFill="1" applyProtection="1">
      <alignment/>
      <protection locked="0"/>
    </xf>
    <xf numFmtId="0" fontId="5" fillId="38" borderId="0" xfId="56" applyFont="1" applyFill="1" applyProtection="1">
      <alignment/>
      <protection locked="0"/>
    </xf>
    <xf numFmtId="0" fontId="13" fillId="38" borderId="0" xfId="56" applyFont="1" applyFill="1" applyProtection="1">
      <alignment/>
      <protection locked="0"/>
    </xf>
    <xf numFmtId="0" fontId="5" fillId="38" borderId="0" xfId="56" applyFont="1" applyFill="1" applyBorder="1" applyProtection="1">
      <alignment/>
      <protection locked="0"/>
    </xf>
    <xf numFmtId="0" fontId="5" fillId="38" borderId="0" xfId="56" applyFont="1" applyFill="1" applyAlignment="1" applyProtection="1">
      <alignment horizontal="center"/>
      <protection locked="0"/>
    </xf>
    <xf numFmtId="0" fontId="0" fillId="38" borderId="0" xfId="0" applyFill="1" applyAlignment="1">
      <alignment/>
    </xf>
    <xf numFmtId="0" fontId="0" fillId="38" borderId="0" xfId="0" applyFill="1" applyBorder="1" applyAlignment="1">
      <alignment/>
    </xf>
    <xf numFmtId="0" fontId="11" fillId="38" borderId="0" xfId="56" applyFont="1" applyFill="1" applyAlignment="1" applyProtection="1">
      <alignment horizontal="left" vertical="center"/>
      <protection locked="0"/>
    </xf>
    <xf numFmtId="0" fontId="10" fillId="38" borderId="0" xfId="56" applyFont="1" applyFill="1" applyBorder="1" applyAlignment="1" applyProtection="1">
      <alignment horizontal="center" vertical="center"/>
      <protection locked="0"/>
    </xf>
    <xf numFmtId="0" fontId="10" fillId="38" borderId="0" xfId="56" applyNumberFormat="1" applyFont="1" applyFill="1" applyBorder="1" applyAlignment="1" applyProtection="1">
      <alignment horizontal="center" vertical="center"/>
      <protection locked="0"/>
    </xf>
    <xf numFmtId="164" fontId="10" fillId="38" borderId="0" xfId="56" applyNumberFormat="1" applyFont="1" applyFill="1" applyBorder="1" applyAlignment="1" applyProtection="1">
      <alignment horizontal="center" vertical="center"/>
      <protection locked="0"/>
    </xf>
    <xf numFmtId="0" fontId="11" fillId="38" borderId="0" xfId="56" applyFont="1" applyFill="1" applyAlignment="1" applyProtection="1">
      <alignment horizontal="left"/>
      <protection locked="0"/>
    </xf>
    <xf numFmtId="0" fontId="14" fillId="38" borderId="0" xfId="56" applyFont="1" applyFill="1" applyAlignment="1" applyProtection="1">
      <alignment horizontal="left" vertical="center"/>
      <protection locked="0"/>
    </xf>
    <xf numFmtId="0" fontId="5" fillId="38" borderId="0" xfId="56" applyFont="1" applyFill="1" applyAlignment="1" applyProtection="1">
      <alignment horizontal="center" vertical="center"/>
      <protection locked="0"/>
    </xf>
    <xf numFmtId="0" fontId="10" fillId="38" borderId="23" xfId="56" applyFont="1" applyFill="1" applyBorder="1" applyAlignment="1" applyProtection="1">
      <alignment horizontal="center" vertical="center"/>
      <protection locked="0"/>
    </xf>
    <xf numFmtId="49" fontId="15" fillId="38" borderId="23" xfId="56" applyNumberFormat="1" applyFont="1" applyFill="1" applyBorder="1" applyAlignment="1" applyProtection="1">
      <alignment horizontal="center" vertical="center"/>
      <protection locked="0"/>
    </xf>
    <xf numFmtId="49" fontId="15" fillId="38" borderId="24" xfId="56" applyNumberFormat="1" applyFont="1" applyFill="1" applyBorder="1" applyAlignment="1" applyProtection="1">
      <alignment horizontal="center" vertical="center"/>
      <protection locked="0"/>
    </xf>
    <xf numFmtId="49" fontId="15" fillId="38" borderId="25" xfId="56" applyNumberFormat="1" applyFont="1" applyFill="1" applyBorder="1" applyAlignment="1" applyProtection="1">
      <alignment horizontal="center" vertical="center"/>
      <protection locked="0"/>
    </xf>
    <xf numFmtId="49" fontId="15" fillId="38" borderId="0" xfId="56" applyNumberFormat="1" applyFont="1" applyFill="1" applyBorder="1" applyAlignment="1" applyProtection="1">
      <alignment horizontal="center" vertical="center"/>
      <protection locked="0"/>
    </xf>
    <xf numFmtId="49" fontId="10" fillId="38" borderId="23" xfId="56" applyNumberFormat="1" applyFont="1" applyFill="1" applyBorder="1" applyAlignment="1" applyProtection="1">
      <alignment horizontal="center" vertical="center"/>
      <protection locked="0"/>
    </xf>
    <xf numFmtId="0" fontId="10" fillId="38" borderId="0" xfId="56" applyFont="1" applyFill="1" applyAlignment="1" applyProtection="1">
      <alignment horizontal="center"/>
      <protection locked="0"/>
    </xf>
    <xf numFmtId="0" fontId="16" fillId="38" borderId="0" xfId="56" applyFont="1" applyFill="1" applyAlignment="1" applyProtection="1">
      <alignment horizontal="center" vertical="center"/>
      <protection locked="0"/>
    </xf>
    <xf numFmtId="0" fontId="10" fillId="38" borderId="23" xfId="56" applyNumberFormat="1" applyFont="1" applyFill="1" applyBorder="1" applyAlignment="1" applyProtection="1">
      <alignment horizontal="center" vertical="center"/>
      <protection locked="0"/>
    </xf>
    <xf numFmtId="0" fontId="10" fillId="38" borderId="23" xfId="56" applyNumberFormat="1" applyFont="1" applyFill="1" applyBorder="1" applyAlignment="1" applyProtection="1">
      <alignment horizontal="center" vertical="center"/>
      <protection hidden="1" locked="0"/>
    </xf>
    <xf numFmtId="0" fontId="10" fillId="38" borderId="26" xfId="56" applyNumberFormat="1" applyFont="1" applyFill="1" applyBorder="1" applyAlignment="1" applyProtection="1">
      <alignment horizontal="center" vertical="center"/>
      <protection hidden="1" locked="0"/>
    </xf>
    <xf numFmtId="164" fontId="10" fillId="38" borderId="24" xfId="56" applyNumberFormat="1" applyFont="1" applyFill="1" applyBorder="1" applyAlignment="1" applyProtection="1">
      <alignment horizontal="center" vertical="center"/>
      <protection hidden="1" locked="0"/>
    </xf>
    <xf numFmtId="164" fontId="10" fillId="38" borderId="23" xfId="56" applyNumberFormat="1" applyFont="1" applyFill="1" applyBorder="1" applyAlignment="1" applyProtection="1">
      <alignment horizontal="center" vertical="center"/>
      <protection hidden="1" locked="0"/>
    </xf>
    <xf numFmtId="0" fontId="10" fillId="38" borderId="0" xfId="56" applyNumberFormat="1" applyFont="1" applyFill="1" applyBorder="1" applyAlignment="1" applyProtection="1">
      <alignment horizontal="center" vertical="center"/>
      <protection hidden="1" locked="0"/>
    </xf>
    <xf numFmtId="0" fontId="10" fillId="38" borderId="27" xfId="56" applyNumberFormat="1" applyFont="1" applyFill="1" applyBorder="1" applyAlignment="1" applyProtection="1">
      <alignment horizontal="center" vertical="center"/>
      <protection hidden="1" locked="0"/>
    </xf>
    <xf numFmtId="165" fontId="10" fillId="38" borderId="0" xfId="56" applyNumberFormat="1" applyFont="1" applyFill="1" applyBorder="1" applyAlignment="1" applyProtection="1">
      <alignment horizontal="center" vertical="center"/>
      <protection hidden="1" locked="0"/>
    </xf>
    <xf numFmtId="166" fontId="10" fillId="38" borderId="0" xfId="56" applyNumberFormat="1" applyFont="1" applyFill="1" applyBorder="1" applyAlignment="1" applyProtection="1">
      <alignment horizontal="center" vertical="center"/>
      <protection hidden="1" locked="0"/>
    </xf>
    <xf numFmtId="1" fontId="10" fillId="38" borderId="0" xfId="56" applyNumberFormat="1" applyFont="1" applyFill="1" applyBorder="1" applyAlignment="1" applyProtection="1">
      <alignment horizontal="center" vertical="center"/>
      <protection hidden="1" locked="0"/>
    </xf>
    <xf numFmtId="0" fontId="10" fillId="38" borderId="0" xfId="56" applyNumberFormat="1" applyFont="1" applyFill="1" applyBorder="1" applyAlignment="1" applyProtection="1">
      <alignment horizontal="left" vertical="center"/>
      <protection locked="0"/>
    </xf>
    <xf numFmtId="0" fontId="10" fillId="39" borderId="10" xfId="56" applyFont="1" applyFill="1" applyBorder="1" applyAlignment="1" applyProtection="1">
      <alignment horizontal="center" vertical="center"/>
      <protection locked="0"/>
    </xf>
    <xf numFmtId="0" fontId="10" fillId="40" borderId="28" xfId="56" applyFont="1" applyFill="1" applyBorder="1" applyAlignment="1" applyProtection="1">
      <alignment horizontal="center" vertical="center"/>
      <protection locked="0"/>
    </xf>
    <xf numFmtId="0" fontId="15" fillId="40" borderId="29" xfId="56" applyNumberFormat="1" applyFont="1" applyFill="1" applyBorder="1" applyAlignment="1" applyProtection="1">
      <alignment horizontal="left" vertical="center"/>
      <protection locked="0"/>
    </xf>
    <xf numFmtId="0" fontId="10" fillId="38" borderId="30" xfId="56" applyFont="1" applyFill="1" applyBorder="1" applyAlignment="1" applyProtection="1">
      <alignment horizontal="center" vertical="center"/>
      <protection locked="0"/>
    </xf>
    <xf numFmtId="0" fontId="10" fillId="38" borderId="30" xfId="56" applyNumberFormat="1" applyFont="1" applyFill="1" applyBorder="1" applyAlignment="1" applyProtection="1">
      <alignment horizontal="center" vertical="center"/>
      <protection locked="0"/>
    </xf>
    <xf numFmtId="0" fontId="10" fillId="38" borderId="31" xfId="56" applyNumberFormat="1" applyFont="1" applyFill="1" applyBorder="1" applyAlignment="1" applyProtection="1">
      <alignment horizontal="center" vertical="center"/>
      <protection locked="0"/>
    </xf>
    <xf numFmtId="0" fontId="10" fillId="38" borderId="32" xfId="56" applyNumberFormat="1" applyFont="1" applyFill="1" applyBorder="1" applyAlignment="1" applyProtection="1">
      <alignment horizontal="center" vertical="center"/>
      <protection locked="0"/>
    </xf>
    <xf numFmtId="0" fontId="10" fillId="38" borderId="0" xfId="56" applyFont="1" applyFill="1" applyBorder="1" applyAlignment="1" applyProtection="1">
      <alignment horizontal="left" vertical="center"/>
      <protection locked="0"/>
    </xf>
    <xf numFmtId="0" fontId="10" fillId="38" borderId="10" xfId="56" applyNumberFormat="1" applyFont="1" applyFill="1" applyBorder="1" applyAlignment="1" applyProtection="1">
      <alignment horizontal="center" vertical="center"/>
      <protection locked="0"/>
    </xf>
    <xf numFmtId="0" fontId="0" fillId="38" borderId="0" xfId="0" applyFill="1" applyBorder="1" applyAlignment="1">
      <alignment horizontal="center"/>
    </xf>
    <xf numFmtId="0" fontId="18" fillId="38" borderId="0" xfId="56" applyFont="1" applyFill="1" applyAlignment="1" applyProtection="1">
      <alignment horizontal="left" vertical="center"/>
      <protection locked="0"/>
    </xf>
    <xf numFmtId="0" fontId="18" fillId="38" borderId="0" xfId="56" applyFont="1" applyFill="1" applyBorder="1" applyAlignment="1" applyProtection="1">
      <alignment horizontal="center" vertical="center"/>
      <protection locked="0"/>
    </xf>
    <xf numFmtId="0" fontId="19" fillId="38" borderId="0" xfId="56" applyFont="1" applyFill="1" applyProtection="1">
      <alignment/>
      <protection locked="0"/>
    </xf>
    <xf numFmtId="0" fontId="18" fillId="38" borderId="0" xfId="56" applyNumberFormat="1" applyFont="1" applyFill="1" applyBorder="1" applyAlignment="1" applyProtection="1">
      <alignment horizontal="center" vertical="center"/>
      <protection locked="0"/>
    </xf>
    <xf numFmtId="0" fontId="3" fillId="41" borderId="11" xfId="56" applyNumberFormat="1" applyFont="1" applyFill="1" applyBorder="1" applyAlignment="1" applyProtection="1">
      <alignment horizontal="center" vertical="center"/>
      <protection locked="0"/>
    </xf>
    <xf numFmtId="0" fontId="16" fillId="38" borderId="0" xfId="56" applyFont="1" applyFill="1" applyAlignment="1" applyProtection="1">
      <alignment horizontal="center"/>
      <protection locked="0"/>
    </xf>
    <xf numFmtId="0" fontId="9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/>
    </xf>
    <xf numFmtId="0" fontId="3" fillId="38" borderId="0" xfId="0" applyFont="1" applyFill="1" applyBorder="1" applyAlignment="1">
      <alignment horizontal="center"/>
    </xf>
    <xf numFmtId="0" fontId="10" fillId="38" borderId="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5" fillId="1" borderId="0" xfId="0" applyFont="1" applyFill="1" applyBorder="1" applyAlignment="1">
      <alignment horizontal="center"/>
    </xf>
    <xf numFmtId="0" fontId="15" fillId="1" borderId="26" xfId="0" applyFont="1" applyFill="1" applyBorder="1" applyAlignment="1">
      <alignment/>
    </xf>
    <xf numFmtId="0" fontId="15" fillId="1" borderId="0" xfId="0" applyFont="1" applyFill="1" applyBorder="1" applyAlignment="1">
      <alignment/>
    </xf>
    <xf numFmtId="0" fontId="10" fillId="38" borderId="0" xfId="0" applyFont="1" applyFill="1" applyBorder="1" applyAlignment="1">
      <alignment horizontal="center"/>
    </xf>
    <xf numFmtId="0" fontId="15" fillId="38" borderId="18" xfId="0" applyFont="1" applyFill="1" applyBorder="1" applyAlignment="1">
      <alignment horizontal="center"/>
    </xf>
    <xf numFmtId="0" fontId="15" fillId="38" borderId="18" xfId="0" applyFont="1" applyFill="1" applyBorder="1" applyAlignment="1">
      <alignment/>
    </xf>
    <xf numFmtId="0" fontId="0" fillId="38" borderId="18" xfId="0" applyFill="1" applyBorder="1" applyAlignment="1">
      <alignment horizontal="center"/>
    </xf>
    <xf numFmtId="0" fontId="0" fillId="38" borderId="18" xfId="0" applyFill="1" applyBorder="1" applyAlignment="1">
      <alignment/>
    </xf>
    <xf numFmtId="164" fontId="5" fillId="0" borderId="0" xfId="0" applyNumberFormat="1" applyFont="1" applyAlignment="1">
      <alignment horizontal="center"/>
    </xf>
    <xf numFmtId="0" fontId="0" fillId="0" borderId="10" xfId="0" applyBorder="1" applyAlignment="1">
      <alignment/>
    </xf>
    <xf numFmtId="0" fontId="27" fillId="0" borderId="33" xfId="0" applyFont="1" applyBorder="1" applyAlignment="1">
      <alignment/>
    </xf>
    <xf numFmtId="0" fontId="27" fillId="0" borderId="10" xfId="0" applyFont="1" applyBorder="1" applyAlignment="1">
      <alignment/>
    </xf>
    <xf numFmtId="0" fontId="28" fillId="38" borderId="0" xfId="56" applyFont="1" applyFill="1" applyProtection="1">
      <alignment/>
      <protection locked="0"/>
    </xf>
    <xf numFmtId="0" fontId="5" fillId="38" borderId="0" xfId="0" applyFont="1" applyFill="1" applyBorder="1" applyAlignment="1">
      <alignment horizontal="center"/>
    </xf>
    <xf numFmtId="165" fontId="0" fillId="38" borderId="0" xfId="0" applyNumberFormat="1" applyFill="1" applyBorder="1" applyAlignment="1">
      <alignment/>
    </xf>
    <xf numFmtId="0" fontId="15" fillId="40" borderId="34" xfId="56" applyNumberFormat="1" applyFont="1" applyFill="1" applyBorder="1" applyAlignment="1" applyProtection="1">
      <alignment horizontal="left" vertical="center"/>
      <protection locked="0"/>
    </xf>
    <xf numFmtId="0" fontId="0" fillId="38" borderId="35" xfId="0" applyNumberFormat="1" applyFill="1" applyBorder="1" applyAlignment="1">
      <alignment horizontal="center"/>
    </xf>
    <xf numFmtId="0" fontId="0" fillId="38" borderId="36" xfId="0" applyNumberFormat="1" applyFill="1" applyBorder="1" applyAlignment="1">
      <alignment horizontal="center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center"/>
    </xf>
    <xf numFmtId="0" fontId="31" fillId="38" borderId="0" xfId="0" applyFont="1" applyFill="1" applyAlignment="1">
      <alignment horizontal="center"/>
    </xf>
    <xf numFmtId="0" fontId="27" fillId="38" borderId="37" xfId="0" applyFont="1" applyFill="1" applyBorder="1" applyAlignment="1">
      <alignment/>
    </xf>
    <xf numFmtId="0" fontId="29" fillId="38" borderId="10" xfId="0" applyFont="1" applyFill="1" applyBorder="1" applyAlignment="1">
      <alignment horizontal="center"/>
    </xf>
    <xf numFmtId="0" fontId="27" fillId="43" borderId="12" xfId="0" applyFont="1" applyFill="1" applyBorder="1" applyAlignment="1">
      <alignment/>
    </xf>
    <xf numFmtId="0" fontId="34" fillId="43" borderId="10" xfId="0" applyFont="1" applyFill="1" applyBorder="1" applyAlignment="1">
      <alignment horizontal="center"/>
    </xf>
    <xf numFmtId="0" fontId="3" fillId="38" borderId="23" xfId="56" applyFont="1" applyFill="1" applyBorder="1" applyAlignment="1" applyProtection="1">
      <alignment horizontal="center" vertical="center"/>
      <protection locked="0"/>
    </xf>
    <xf numFmtId="0" fontId="3" fillId="38" borderId="23" xfId="56" applyNumberFormat="1" applyFont="1" applyFill="1" applyBorder="1" applyAlignment="1" applyProtection="1">
      <alignment horizontal="center" vertical="center"/>
      <protection hidden="1" locked="0"/>
    </xf>
    <xf numFmtId="0" fontId="3" fillId="39" borderId="10" xfId="56" applyFont="1" applyFill="1" applyBorder="1" applyAlignment="1" applyProtection="1">
      <alignment horizontal="center" vertical="center"/>
      <protection locked="0"/>
    </xf>
    <xf numFmtId="0" fontId="5" fillId="44" borderId="0" xfId="56" applyFont="1" applyFill="1" applyProtection="1">
      <alignment/>
      <protection locked="0"/>
    </xf>
    <xf numFmtId="0" fontId="5" fillId="44" borderId="0" xfId="0" applyFont="1" applyFill="1" applyAlignment="1">
      <alignment horizontal="center"/>
    </xf>
    <xf numFmtId="0" fontId="5" fillId="44" borderId="0" xfId="0" applyFont="1" applyFill="1" applyAlignment="1">
      <alignment/>
    </xf>
    <xf numFmtId="0" fontId="31" fillId="38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Alignment="1">
      <alignment/>
    </xf>
    <xf numFmtId="0" fontId="6" fillId="0" borderId="17" xfId="0" applyFont="1" applyBorder="1" applyAlignment="1">
      <alignment horizontal="center"/>
    </xf>
    <xf numFmtId="0" fontId="14" fillId="38" borderId="0" xfId="56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1" fillId="38" borderId="19" xfId="0" applyFont="1" applyFill="1" applyBorder="1" applyAlignment="1">
      <alignment/>
    </xf>
    <xf numFmtId="0" fontId="5" fillId="38" borderId="19" xfId="0" applyFont="1" applyFill="1" applyBorder="1" applyAlignment="1">
      <alignment/>
    </xf>
    <xf numFmtId="0" fontId="5" fillId="38" borderId="19" xfId="0" applyFont="1" applyFill="1" applyBorder="1" applyAlignment="1">
      <alignment horizontal="center"/>
    </xf>
    <xf numFmtId="0" fontId="5" fillId="38" borderId="19" xfId="0" applyFont="1" applyFill="1" applyBorder="1" applyAlignment="1">
      <alignment/>
    </xf>
    <xf numFmtId="0" fontId="5" fillId="38" borderId="16" xfId="0" applyFont="1" applyFill="1" applyBorder="1" applyAlignment="1">
      <alignment horizontal="left"/>
    </xf>
    <xf numFmtId="0" fontId="5" fillId="38" borderId="12" xfId="0" applyFont="1" applyFill="1" applyBorder="1" applyAlignment="1">
      <alignment/>
    </xf>
    <xf numFmtId="0" fontId="9" fillId="38" borderId="19" xfId="0" applyFont="1" applyFill="1" applyBorder="1" applyAlignment="1">
      <alignment/>
    </xf>
    <xf numFmtId="0" fontId="30" fillId="38" borderId="19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49" fontId="2" fillId="38" borderId="12" xfId="0" applyNumberFormat="1" applyFont="1" applyFill="1" applyBorder="1" applyAlignment="1">
      <alignment/>
    </xf>
    <xf numFmtId="0" fontId="2" fillId="38" borderId="19" xfId="0" applyFont="1" applyFill="1" applyBorder="1" applyAlignment="1">
      <alignment horizontal="center"/>
    </xf>
    <xf numFmtId="0" fontId="7" fillId="38" borderId="19" xfId="0" applyFont="1" applyFill="1" applyBorder="1" applyAlignment="1">
      <alignment/>
    </xf>
    <xf numFmtId="0" fontId="2" fillId="38" borderId="16" xfId="0" applyFont="1" applyFill="1" applyBorder="1" applyAlignment="1">
      <alignment/>
    </xf>
    <xf numFmtId="0" fontId="5" fillId="0" borderId="37" xfId="0" applyFont="1" applyFill="1" applyBorder="1" applyAlignment="1">
      <alignment horizontal="center"/>
    </xf>
    <xf numFmtId="0" fontId="37" fillId="0" borderId="38" xfId="0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9" xfId="0" applyFont="1" applyFill="1" applyBorder="1" applyAlignment="1">
      <alignment/>
    </xf>
    <xf numFmtId="0" fontId="8" fillId="37" borderId="40" xfId="0" applyFont="1" applyFill="1" applyBorder="1" applyAlignment="1">
      <alignment/>
    </xf>
    <xf numFmtId="0" fontId="5" fillId="37" borderId="38" xfId="0" applyFont="1" applyFill="1" applyBorder="1" applyAlignment="1">
      <alignment horizontal="center"/>
    </xf>
    <xf numFmtId="0" fontId="31" fillId="38" borderId="19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14" fontId="4" fillId="38" borderId="0" xfId="0" applyNumberFormat="1" applyFont="1" applyFill="1" applyAlignment="1">
      <alignment horizontal="left"/>
    </xf>
    <xf numFmtId="49" fontId="4" fillId="38" borderId="12" xfId="0" applyNumberFormat="1" applyFont="1" applyFill="1" applyBorder="1" applyAlignment="1">
      <alignment/>
    </xf>
    <xf numFmtId="0" fontId="6" fillId="38" borderId="19" xfId="0" applyFont="1" applyFill="1" applyBorder="1" applyAlignment="1">
      <alignment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4" fillId="38" borderId="16" xfId="0" applyFont="1" applyFill="1" applyBorder="1" applyAlignment="1">
      <alignment/>
    </xf>
    <xf numFmtId="0" fontId="4" fillId="38" borderId="41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49" fontId="2" fillId="38" borderId="0" xfId="0" applyNumberFormat="1" applyFont="1" applyFill="1" applyAlignment="1">
      <alignment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center"/>
    </xf>
    <xf numFmtId="0" fontId="4" fillId="38" borderId="0" xfId="0" applyFont="1" applyFill="1" applyBorder="1" applyAlignment="1">
      <alignment horizontal="left"/>
    </xf>
    <xf numFmtId="0" fontId="2" fillId="38" borderId="10" xfId="0" applyFont="1" applyFill="1" applyBorder="1" applyAlignment="1">
      <alignment horizontal="center"/>
    </xf>
    <xf numFmtId="0" fontId="4" fillId="38" borderId="40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left"/>
    </xf>
    <xf numFmtId="14" fontId="2" fillId="38" borderId="16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38" borderId="17" xfId="0" applyFont="1" applyFill="1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38" borderId="11" xfId="0" applyFont="1" applyFill="1" applyBorder="1" applyAlignment="1">
      <alignment/>
    </xf>
    <xf numFmtId="0" fontId="4" fillId="38" borderId="42" xfId="0" applyFont="1" applyFill="1" applyBorder="1" applyAlignment="1">
      <alignment/>
    </xf>
    <xf numFmtId="0" fontId="4" fillId="38" borderId="41" xfId="0" applyFont="1" applyFill="1" applyBorder="1" applyAlignment="1">
      <alignment/>
    </xf>
    <xf numFmtId="0" fontId="4" fillId="38" borderId="43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4" fillId="34" borderId="15" xfId="0" applyFont="1" applyFill="1" applyBorder="1" applyAlignment="1">
      <alignment horizontal="center"/>
    </xf>
    <xf numFmtId="0" fontId="4" fillId="38" borderId="44" xfId="0" applyFont="1" applyFill="1" applyBorder="1" applyAlignment="1">
      <alignment/>
    </xf>
    <xf numFmtId="0" fontId="1" fillId="38" borderId="18" xfId="0" applyFont="1" applyFill="1" applyBorder="1" applyAlignment="1">
      <alignment/>
    </xf>
    <xf numFmtId="0" fontId="4" fillId="38" borderId="45" xfId="0" applyFont="1" applyFill="1" applyBorder="1" applyAlignment="1">
      <alignment horizontal="center"/>
    </xf>
    <xf numFmtId="0" fontId="4" fillId="38" borderId="46" xfId="0" applyFont="1" applyFill="1" applyBorder="1" applyAlignment="1">
      <alignment/>
    </xf>
    <xf numFmtId="0" fontId="1" fillId="38" borderId="0" xfId="0" applyFont="1" applyFill="1" applyBorder="1" applyAlignment="1">
      <alignment/>
    </xf>
    <xf numFmtId="0" fontId="4" fillId="38" borderId="47" xfId="0" applyFont="1" applyFill="1" applyBorder="1" applyAlignment="1">
      <alignment/>
    </xf>
    <xf numFmtId="0" fontId="1" fillId="38" borderId="38" xfId="0" applyFont="1" applyFill="1" applyBorder="1" applyAlignment="1">
      <alignment/>
    </xf>
    <xf numFmtId="14" fontId="4" fillId="38" borderId="16" xfId="0" applyNumberFormat="1" applyFont="1" applyFill="1" applyBorder="1" applyAlignment="1">
      <alignment horizontal="right"/>
    </xf>
    <xf numFmtId="0" fontId="37" fillId="38" borderId="40" xfId="0" applyFont="1" applyFill="1" applyBorder="1" applyAlignment="1">
      <alignment/>
    </xf>
    <xf numFmtId="0" fontId="37" fillId="38" borderId="38" xfId="0" applyFont="1" applyFill="1" applyBorder="1" applyAlignment="1">
      <alignment/>
    </xf>
    <xf numFmtId="0" fontId="4" fillId="38" borderId="38" xfId="0" applyFont="1" applyFill="1" applyBorder="1" applyAlignment="1">
      <alignment/>
    </xf>
    <xf numFmtId="0" fontId="37" fillId="38" borderId="48" xfId="0" applyFont="1" applyFill="1" applyBorder="1" applyAlignment="1">
      <alignment/>
    </xf>
    <xf numFmtId="0" fontId="4" fillId="38" borderId="0" xfId="0" applyFont="1" applyFill="1" applyAlignment="1">
      <alignment/>
    </xf>
    <xf numFmtId="0" fontId="37" fillId="38" borderId="38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37" fillId="38" borderId="12" xfId="0" applyFont="1" applyFill="1" applyBorder="1" applyAlignment="1">
      <alignment/>
    </xf>
    <xf numFmtId="0" fontId="37" fillId="38" borderId="19" xfId="0" applyFont="1" applyFill="1" applyBorder="1" applyAlignment="1">
      <alignment/>
    </xf>
    <xf numFmtId="0" fontId="37" fillId="38" borderId="16" xfId="0" applyFont="1" applyFill="1" applyBorder="1" applyAlignment="1">
      <alignment/>
    </xf>
    <xf numFmtId="0" fontId="37" fillId="38" borderId="19" xfId="0" applyFont="1" applyFill="1" applyBorder="1" applyAlignment="1">
      <alignment horizontal="center"/>
    </xf>
    <xf numFmtId="0" fontId="37" fillId="38" borderId="16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40" fillId="38" borderId="0" xfId="0" applyFont="1" applyFill="1" applyAlignment="1">
      <alignment horizontal="center"/>
    </xf>
    <xf numFmtId="0" fontId="10" fillId="38" borderId="49" xfId="56" applyNumberFormat="1" applyFont="1" applyFill="1" applyBorder="1" applyAlignment="1" applyProtection="1">
      <alignment horizontal="center" vertical="center"/>
      <protection locked="0"/>
    </xf>
    <xf numFmtId="0" fontId="10" fillId="38" borderId="50" xfId="56" applyFont="1" applyFill="1" applyBorder="1" applyAlignment="1" applyProtection="1">
      <alignment horizontal="center" vertical="center"/>
      <protection locked="0"/>
    </xf>
    <xf numFmtId="0" fontId="10" fillId="38" borderId="35" xfId="56" applyNumberFormat="1" applyFont="1" applyFill="1" applyBorder="1" applyAlignment="1" applyProtection="1">
      <alignment horizontal="center" vertical="center"/>
      <protection locked="0"/>
    </xf>
    <xf numFmtId="0" fontId="10" fillId="38" borderId="36" xfId="56" applyNumberFormat="1" applyFont="1" applyFill="1" applyBorder="1" applyAlignment="1" applyProtection="1">
      <alignment horizontal="center" vertical="center"/>
      <protection locked="0"/>
    </xf>
    <xf numFmtId="0" fontId="10" fillId="38" borderId="51" xfId="56" applyNumberFormat="1" applyFont="1" applyFill="1" applyBorder="1" applyAlignment="1" applyProtection="1">
      <alignment horizontal="center" vertical="center"/>
      <protection locked="0"/>
    </xf>
    <xf numFmtId="0" fontId="10" fillId="38" borderId="52" xfId="56" applyNumberFormat="1" applyFont="1" applyFill="1" applyBorder="1" applyAlignment="1" applyProtection="1">
      <alignment horizontal="center" vertical="center"/>
      <protection locked="0"/>
    </xf>
    <xf numFmtId="0" fontId="10" fillId="38" borderId="53" xfId="56" applyNumberFormat="1" applyFont="1" applyFill="1" applyBorder="1" applyAlignment="1" applyProtection="1">
      <alignment horizontal="center" vertical="center"/>
      <protection locked="0"/>
    </xf>
    <xf numFmtId="0" fontId="10" fillId="38" borderId="54" xfId="56" applyNumberFormat="1" applyFont="1" applyFill="1" applyBorder="1" applyAlignment="1" applyProtection="1">
      <alignment horizontal="center" vertical="center"/>
      <protection locked="0"/>
    </xf>
    <xf numFmtId="0" fontId="10" fillId="38" borderId="55" xfId="56" applyNumberFormat="1" applyFont="1" applyFill="1" applyBorder="1" applyAlignment="1" applyProtection="1">
      <alignment horizontal="center" vertical="center"/>
      <protection locked="0"/>
    </xf>
    <xf numFmtId="0" fontId="10" fillId="38" borderId="56" xfId="56" applyNumberFormat="1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Alignment="1">
      <alignment/>
    </xf>
    <xf numFmtId="0" fontId="5" fillId="38" borderId="0" xfId="0" applyFont="1" applyFill="1" applyAlignment="1">
      <alignment horizontal="left"/>
    </xf>
    <xf numFmtId="0" fontId="2" fillId="38" borderId="17" xfId="0" applyFont="1" applyFill="1" applyBorder="1" applyAlignment="1">
      <alignment/>
    </xf>
    <xf numFmtId="49" fontId="2" fillId="38" borderId="11" xfId="0" applyNumberFormat="1" applyFont="1" applyFill="1" applyBorder="1" applyAlignment="1">
      <alignment/>
    </xf>
    <xf numFmtId="0" fontId="2" fillId="38" borderId="11" xfId="0" applyFont="1" applyFill="1" applyBorder="1" applyAlignment="1">
      <alignment horizontal="center"/>
    </xf>
    <xf numFmtId="0" fontId="2" fillId="38" borderId="11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1" xfId="0" applyFont="1" applyFill="1" applyBorder="1" applyAlignment="1">
      <alignment horizontal="center"/>
    </xf>
    <xf numFmtId="0" fontId="40" fillId="38" borderId="10" xfId="0" applyFont="1" applyFill="1" applyBorder="1" applyAlignment="1">
      <alignment horizontal="center"/>
    </xf>
    <xf numFmtId="0" fontId="41" fillId="38" borderId="11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4" fillId="38" borderId="0" xfId="0" applyFont="1" applyFill="1" applyAlignment="1">
      <alignment horizontal="center"/>
    </xf>
    <xf numFmtId="0" fontId="46" fillId="0" borderId="11" xfId="0" applyFont="1" applyFill="1" applyBorder="1" applyAlignment="1">
      <alignment/>
    </xf>
    <xf numFmtId="0" fontId="46" fillId="38" borderId="0" xfId="0" applyFont="1" applyFill="1" applyAlignment="1">
      <alignment/>
    </xf>
    <xf numFmtId="0" fontId="46" fillId="38" borderId="11" xfId="0" applyFont="1" applyFill="1" applyBorder="1" applyAlignment="1">
      <alignment/>
    </xf>
    <xf numFmtId="0" fontId="46" fillId="38" borderId="11" xfId="0" applyFont="1" applyFill="1" applyBorder="1" applyAlignment="1">
      <alignment/>
    </xf>
    <xf numFmtId="0" fontId="48" fillId="38" borderId="0" xfId="0" applyFont="1" applyFill="1" applyAlignment="1">
      <alignment horizontal="center"/>
    </xf>
    <xf numFmtId="0" fontId="41" fillId="38" borderId="0" xfId="56" applyFont="1" applyFill="1" applyBorder="1" applyProtection="1">
      <alignment/>
      <protection locked="0"/>
    </xf>
    <xf numFmtId="0" fontId="0" fillId="38" borderId="0" xfId="0" applyFill="1" applyAlignment="1">
      <alignment horizontal="left"/>
    </xf>
    <xf numFmtId="0" fontId="49" fillId="38" borderId="0" xfId="0" applyFont="1" applyFill="1" applyAlignment="1">
      <alignment/>
    </xf>
    <xf numFmtId="0" fontId="10" fillId="38" borderId="0" xfId="0" applyFont="1" applyFill="1" applyAlignment="1">
      <alignment/>
    </xf>
    <xf numFmtId="0" fontId="23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24" fillId="38" borderId="0" xfId="0" applyFont="1" applyFill="1" applyAlignment="1">
      <alignment horizontal="center"/>
    </xf>
    <xf numFmtId="0" fontId="32" fillId="38" borderId="0" xfId="0" applyFont="1" applyFill="1" applyAlignment="1">
      <alignment horizontal="center"/>
    </xf>
    <xf numFmtId="0" fontId="32" fillId="38" borderId="0" xfId="0" applyFont="1" applyFill="1" applyAlignment="1">
      <alignment/>
    </xf>
    <xf numFmtId="0" fontId="0" fillId="38" borderId="0" xfId="0" applyFill="1" applyAlignment="1" applyProtection="1">
      <alignment horizontal="center"/>
      <protection hidden="1"/>
    </xf>
    <xf numFmtId="164" fontId="5" fillId="38" borderId="0" xfId="0" applyNumberFormat="1" applyFont="1" applyFill="1" applyAlignment="1">
      <alignment horizontal="center"/>
    </xf>
    <xf numFmtId="0" fontId="10" fillId="45" borderId="0" xfId="56" applyNumberFormat="1" applyFont="1" applyFill="1" applyBorder="1" applyAlignment="1" applyProtection="1">
      <alignment horizontal="center" vertical="center"/>
      <protection locked="0"/>
    </xf>
    <xf numFmtId="0" fontId="46" fillId="38" borderId="11" xfId="0" applyFont="1" applyFill="1" applyBorder="1" applyAlignment="1">
      <alignment horizontal="center"/>
    </xf>
    <xf numFmtId="0" fontId="46" fillId="38" borderId="57" xfId="0" applyFont="1" applyFill="1" applyBorder="1" applyAlignment="1">
      <alignment/>
    </xf>
    <xf numFmtId="0" fontId="4" fillId="37" borderId="13" xfId="0" applyFont="1" applyFill="1" applyBorder="1" applyAlignment="1">
      <alignment/>
    </xf>
    <xf numFmtId="0" fontId="3" fillId="37" borderId="10" xfId="0" applyFont="1" applyFill="1" applyBorder="1" applyAlignment="1">
      <alignment horizontal="center"/>
    </xf>
    <xf numFmtId="0" fontId="4" fillId="37" borderId="37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38" xfId="0" applyFont="1" applyFill="1" applyBorder="1" applyAlignment="1">
      <alignment horizontal="center"/>
    </xf>
    <xf numFmtId="0" fontId="2" fillId="38" borderId="0" xfId="0" applyFont="1" applyFill="1" applyAlignment="1">
      <alignment horizontal="left"/>
    </xf>
    <xf numFmtId="0" fontId="0" fillId="38" borderId="12" xfId="0" applyFill="1" applyBorder="1" applyAlignment="1">
      <alignment/>
    </xf>
    <xf numFmtId="0" fontId="33" fillId="38" borderId="19" xfId="0" applyFont="1" applyFill="1" applyBorder="1" applyAlignment="1">
      <alignment/>
    </xf>
    <xf numFmtId="0" fontId="26" fillId="38" borderId="19" xfId="0" applyFont="1" applyFill="1" applyBorder="1" applyAlignment="1">
      <alignment/>
    </xf>
    <xf numFmtId="0" fontId="0" fillId="38" borderId="19" xfId="0" applyFill="1" applyBorder="1" applyAlignment="1">
      <alignment/>
    </xf>
    <xf numFmtId="0" fontId="0" fillId="38" borderId="16" xfId="0" applyFill="1" applyBorder="1" applyAlignment="1">
      <alignment/>
    </xf>
    <xf numFmtId="0" fontId="2" fillId="38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4" fillId="38" borderId="18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2" fillId="38" borderId="18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/>
    </xf>
    <xf numFmtId="0" fontId="2" fillId="38" borderId="15" xfId="0" applyFont="1" applyFill="1" applyBorder="1" applyAlignment="1">
      <alignment/>
    </xf>
    <xf numFmtId="0" fontId="4" fillId="38" borderId="44" xfId="0" applyFont="1" applyFill="1" applyBorder="1" applyAlignment="1">
      <alignment horizontal="center"/>
    </xf>
    <xf numFmtId="0" fontId="5" fillId="38" borderId="58" xfId="0" applyFont="1" applyFill="1" applyBorder="1" applyAlignment="1">
      <alignment horizontal="center"/>
    </xf>
    <xf numFmtId="0" fontId="5" fillId="38" borderId="58" xfId="0" applyFont="1" applyFill="1" applyBorder="1" applyAlignment="1">
      <alignment/>
    </xf>
    <xf numFmtId="0" fontId="4" fillId="38" borderId="58" xfId="0" applyFont="1" applyFill="1" applyBorder="1" applyAlignment="1">
      <alignment horizontal="center"/>
    </xf>
    <xf numFmtId="0" fontId="4" fillId="38" borderId="58" xfId="0" applyFont="1" applyFill="1" applyBorder="1" applyAlignment="1">
      <alignment/>
    </xf>
    <xf numFmtId="0" fontId="4" fillId="38" borderId="59" xfId="0" applyFont="1" applyFill="1" applyBorder="1" applyAlignment="1">
      <alignment/>
    </xf>
    <xf numFmtId="0" fontId="4" fillId="38" borderId="46" xfId="0" applyFont="1" applyFill="1" applyBorder="1" applyAlignment="1">
      <alignment horizontal="center"/>
    </xf>
    <xf numFmtId="0" fontId="5" fillId="38" borderId="11" xfId="0" applyFont="1" applyFill="1" applyBorder="1" applyAlignment="1">
      <alignment horizontal="center"/>
    </xf>
    <xf numFmtId="0" fontId="5" fillId="38" borderId="11" xfId="0" applyFont="1" applyFill="1" applyBorder="1" applyAlignment="1">
      <alignment/>
    </xf>
    <xf numFmtId="0" fontId="5" fillId="38" borderId="60" xfId="0" applyFont="1" applyFill="1" applyBorder="1" applyAlignment="1">
      <alignment horizontal="center"/>
    </xf>
    <xf numFmtId="0" fontId="5" fillId="38" borderId="11" xfId="0" applyFont="1" applyFill="1" applyBorder="1" applyAlignment="1">
      <alignment/>
    </xf>
    <xf numFmtId="0" fontId="5" fillId="38" borderId="11" xfId="0" applyFont="1" applyFill="1" applyBorder="1" applyAlignment="1">
      <alignment horizontal="left"/>
    </xf>
    <xf numFmtId="49" fontId="2" fillId="38" borderId="17" xfId="0" applyNumberFormat="1" applyFont="1" applyFill="1" applyBorder="1" applyAlignment="1">
      <alignment/>
    </xf>
    <xf numFmtId="0" fontId="5" fillId="38" borderId="12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38" borderId="39" xfId="0" applyFont="1" applyFill="1" applyBorder="1" applyAlignment="1">
      <alignment horizontal="center"/>
    </xf>
    <xf numFmtId="0" fontId="5" fillId="38" borderId="14" xfId="0" applyFont="1" applyFill="1" applyBorder="1" applyAlignment="1">
      <alignment horizontal="center"/>
    </xf>
    <xf numFmtId="0" fontId="5" fillId="38" borderId="13" xfId="0" applyFont="1" applyFill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8" fillId="38" borderId="14" xfId="0" applyFont="1" applyFill="1" applyBorder="1" applyAlignment="1">
      <alignment horizontal="center"/>
    </xf>
    <xf numFmtId="0" fontId="5" fillId="38" borderId="13" xfId="0" applyFont="1" applyFill="1" applyBorder="1" applyAlignment="1">
      <alignment/>
    </xf>
    <xf numFmtId="0" fontId="5" fillId="38" borderId="15" xfId="0" applyFont="1" applyFill="1" applyBorder="1" applyAlignment="1">
      <alignment/>
    </xf>
    <xf numFmtId="0" fontId="4" fillId="38" borderId="61" xfId="0" applyFont="1" applyFill="1" applyBorder="1" applyAlignment="1">
      <alignment horizontal="center"/>
    </xf>
    <xf numFmtId="0" fontId="5" fillId="38" borderId="62" xfId="0" applyFont="1" applyFill="1" applyBorder="1" applyAlignment="1">
      <alignment horizontal="center"/>
    </xf>
    <xf numFmtId="0" fontId="5" fillId="38" borderId="62" xfId="0" applyFont="1" applyFill="1" applyBorder="1" applyAlignment="1">
      <alignment/>
    </xf>
    <xf numFmtId="0" fontId="4" fillId="38" borderId="62" xfId="0" applyFont="1" applyFill="1" applyBorder="1" applyAlignment="1">
      <alignment horizontal="center"/>
    </xf>
    <xf numFmtId="0" fontId="4" fillId="38" borderId="62" xfId="0" applyFont="1" applyFill="1" applyBorder="1" applyAlignment="1">
      <alignment/>
    </xf>
    <xf numFmtId="0" fontId="4" fillId="38" borderId="63" xfId="0" applyFont="1" applyFill="1" applyBorder="1" applyAlignment="1">
      <alignment/>
    </xf>
    <xf numFmtId="0" fontId="3" fillId="38" borderId="10" xfId="0" applyFont="1" applyFill="1" applyBorder="1" applyAlignment="1">
      <alignment horizontal="center"/>
    </xf>
    <xf numFmtId="0" fontId="3" fillId="38" borderId="19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6" fillId="38" borderId="17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center"/>
    </xf>
    <xf numFmtId="0" fontId="10" fillId="38" borderId="17" xfId="0" applyFont="1" applyFill="1" applyBorder="1" applyAlignment="1">
      <alignment horizontal="left"/>
    </xf>
    <xf numFmtId="0" fontId="3" fillId="38" borderId="11" xfId="0" applyFont="1" applyFill="1" applyBorder="1" applyAlignment="1">
      <alignment horizontal="center"/>
    </xf>
    <xf numFmtId="0" fontId="6" fillId="38" borderId="11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center"/>
    </xf>
    <xf numFmtId="0" fontId="10" fillId="38" borderId="11" xfId="0" applyFont="1" applyFill="1" applyBorder="1" applyAlignment="1">
      <alignment horizontal="left"/>
    </xf>
    <xf numFmtId="0" fontId="10" fillId="38" borderId="11" xfId="0" applyFont="1" applyFill="1" applyBorder="1" applyAlignment="1">
      <alignment/>
    </xf>
    <xf numFmtId="0" fontId="3" fillId="38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/>
    </xf>
    <xf numFmtId="0" fontId="15" fillId="38" borderId="0" xfId="0" applyFont="1" applyFill="1" applyAlignment="1">
      <alignment horizontal="center"/>
    </xf>
    <xf numFmtId="0" fontId="17" fillId="46" borderId="64" xfId="56" applyNumberFormat="1" applyFont="1" applyFill="1" applyBorder="1" applyAlignment="1" applyProtection="1">
      <alignment horizontal="center" vertical="center"/>
      <protection locked="0"/>
    </xf>
    <xf numFmtId="0" fontId="17" fillId="46" borderId="65" xfId="56" applyNumberFormat="1" applyFont="1" applyFill="1" applyBorder="1" applyAlignment="1" applyProtection="1">
      <alignment horizontal="center" vertical="center"/>
      <protection locked="0"/>
    </xf>
    <xf numFmtId="0" fontId="20" fillId="38" borderId="0" xfId="0" applyFont="1" applyFill="1" applyBorder="1" applyAlignment="1">
      <alignment horizontal="center"/>
    </xf>
    <xf numFmtId="0" fontId="20" fillId="38" borderId="0" xfId="0" applyFont="1" applyFill="1" applyBorder="1" applyAlignment="1">
      <alignment/>
    </xf>
    <xf numFmtId="0" fontId="14" fillId="38" borderId="0" xfId="0" applyFont="1" applyFill="1" applyBorder="1" applyAlignment="1">
      <alignment horizontal="center"/>
    </xf>
    <xf numFmtId="0" fontId="14" fillId="38" borderId="0" xfId="0" applyFont="1" applyFill="1" applyBorder="1" applyAlignment="1">
      <alignment/>
    </xf>
    <xf numFmtId="0" fontId="23" fillId="38" borderId="14" xfId="0" applyFont="1" applyFill="1" applyBorder="1" applyAlignment="1">
      <alignment horizontal="center"/>
    </xf>
    <xf numFmtId="0" fontId="23" fillId="38" borderId="18" xfId="0" applyFont="1" applyFill="1" applyBorder="1" applyAlignment="1">
      <alignment horizontal="center"/>
    </xf>
    <xf numFmtId="0" fontId="23" fillId="38" borderId="15" xfId="0" applyFont="1" applyFill="1" applyBorder="1" applyAlignment="1">
      <alignment horizontal="center"/>
    </xf>
    <xf numFmtId="0" fontId="24" fillId="38" borderId="40" xfId="0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24" fillId="38" borderId="48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Skat Junior Páros Formáció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dxfs count="8">
    <dxf>
      <font>
        <b/>
        <i val="0"/>
      </font>
      <fill>
        <patternFill>
          <bgColor indexed="10"/>
        </patternFill>
      </fill>
    </dxf>
    <dxf>
      <font>
        <color indexed="9"/>
      </font>
    </dxf>
    <dxf>
      <font>
        <color indexed="9"/>
      </font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ill>
        <patternFill>
          <bgColor indexed="10"/>
        </patternFill>
      </fill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</xdr:row>
      <xdr:rowOff>0</xdr:rowOff>
    </xdr:from>
    <xdr:to>
      <xdr:col>4</xdr:col>
      <xdr:colOff>2390775</xdr:colOff>
      <xdr:row>2</xdr:row>
      <xdr:rowOff>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28600"/>
          <a:ext cx="22002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ontozo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rsolás"/>
      <sheetName val="1-rajt-lábt"/>
      <sheetName val="1-rajt-akro"/>
      <sheetName val="1-X"/>
      <sheetName val="1-tov"/>
      <sheetName val="2-rajt"/>
      <sheetName val="2-X"/>
      <sheetName val="2-tov"/>
      <sheetName val="Sors_közép"/>
      <sheetName val="3-rajt"/>
      <sheetName val="3-X"/>
      <sheetName val="3-tov"/>
      <sheetName val="4-rajt"/>
      <sheetName val="4-X"/>
      <sheetName val="4-tov"/>
      <sheetName val="Döntö"/>
      <sheetName val="Skat-lábt"/>
      <sheetName val="Skat-akro"/>
      <sheetName val="Result"/>
      <sheetName val="Pontozoprogram"/>
    </sheetNames>
    <sheetDataSet>
      <sheetData sheetId="0">
        <row r="2">
          <cell r="F2">
            <v>6</v>
          </cell>
        </row>
      </sheetData>
      <sheetData sheetId="3">
        <row r="4">
          <cell r="D4">
            <v>6</v>
          </cell>
        </row>
      </sheetData>
      <sheetData sheetId="6">
        <row r="4">
          <cell r="D4">
            <v>8</v>
          </cell>
        </row>
      </sheetData>
      <sheetData sheetId="10">
        <row r="4">
          <cell r="D4">
            <v>14</v>
          </cell>
        </row>
      </sheetData>
      <sheetData sheetId="13">
        <row r="4">
          <cell r="D4">
            <v>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50"/>
  <sheetViews>
    <sheetView zoomScalePageLayoutView="0" workbookViewId="0" topLeftCell="F1">
      <selection activeCell="K4" sqref="K4:M8"/>
    </sheetView>
  </sheetViews>
  <sheetFormatPr defaultColWidth="9.140625" defaultRowHeight="12.75"/>
  <cols>
    <col min="1" max="1" width="4.00390625" style="3" customWidth="1"/>
    <col min="2" max="2" width="9.7109375" style="1" hidden="1" customWidth="1"/>
    <col min="3" max="3" width="10.00390625" style="1" hidden="1" customWidth="1"/>
    <col min="4" max="4" width="10.57421875" style="14" bestFit="1" customWidth="1"/>
    <col min="5" max="5" width="54.7109375" style="3" bestFit="1" customWidth="1"/>
    <col min="6" max="6" width="27.140625" style="3" bestFit="1" customWidth="1"/>
    <col min="7" max="7" width="16.421875" style="3" bestFit="1" customWidth="1"/>
    <col min="8" max="16384" width="9.140625" style="3" customWidth="1"/>
  </cols>
  <sheetData>
    <row r="1" spans="1:16" ht="18" customHeight="1" thickBot="1">
      <c r="A1" s="9" t="s">
        <v>3</v>
      </c>
      <c r="B1" s="15"/>
      <c r="C1" s="15"/>
      <c r="D1" s="10"/>
      <c r="E1" s="21" t="s">
        <v>7</v>
      </c>
      <c r="F1" s="4" t="s">
        <v>4</v>
      </c>
      <c r="G1" s="258" t="s">
        <v>90</v>
      </c>
      <c r="H1" s="206"/>
      <c r="I1" s="257" t="s">
        <v>88</v>
      </c>
      <c r="J1" s="206"/>
      <c r="K1" s="206"/>
      <c r="L1" s="206"/>
      <c r="M1" s="206"/>
      <c r="N1" s="206"/>
      <c r="O1" s="206"/>
      <c r="P1" s="206"/>
    </row>
    <row r="2" spans="1:16" ht="21" customHeight="1" thickBot="1">
      <c r="A2" s="6" t="s">
        <v>83</v>
      </c>
      <c r="B2" s="16"/>
      <c r="C2" s="16"/>
      <c r="D2" s="11"/>
      <c r="E2" s="7"/>
      <c r="F2" s="8">
        <f>COUNT(D4:D33)</f>
        <v>5</v>
      </c>
      <c r="G2" s="259">
        <v>1</v>
      </c>
      <c r="H2" s="206"/>
      <c r="I2" s="206"/>
      <c r="J2" s="206"/>
      <c r="K2" s="206"/>
      <c r="L2" s="206"/>
      <c r="M2" s="206"/>
      <c r="N2" s="206"/>
      <c r="O2" s="206"/>
      <c r="P2" s="206"/>
    </row>
    <row r="3" spans="1:16" ht="16.5" thickBot="1">
      <c r="A3" s="206"/>
      <c r="B3" s="237"/>
      <c r="C3" s="243" t="s">
        <v>89</v>
      </c>
      <c r="D3" s="17" t="s">
        <v>0</v>
      </c>
      <c r="E3" s="18" t="s">
        <v>1</v>
      </c>
      <c r="F3" s="19" t="s">
        <v>2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</row>
    <row r="4" spans="1:16" ht="15.75">
      <c r="A4" s="187">
        <f>IF(D4&lt;&gt;"",1,"")</f>
        <v>1</v>
      </c>
      <c r="B4" s="126">
        <f aca="true" ca="1" t="shared" si="0" ref="B4:B19">IF(E4="…"," ",IF(E4=""," ",RAND()))</f>
        <v>0.9038406105984053</v>
      </c>
      <c r="C4" s="126">
        <f>IF(ISNUMBER(D4)=TRUE,IF(COUNTIF(D4:D50,D4)=1,"","HIBA"),"")</f>
      </c>
      <c r="D4" s="171">
        <v>7</v>
      </c>
      <c r="E4" s="185" t="s">
        <v>99</v>
      </c>
      <c r="F4" s="185" t="s">
        <v>103</v>
      </c>
      <c r="G4" s="206"/>
      <c r="H4" s="206"/>
      <c r="I4" s="126">
        <f ca="1">IF(L4="…"," ",IF(L4=""," ",RAND()))</f>
        <v>0.6545813849806378</v>
      </c>
      <c r="J4" s="126">
        <f>IF(ISNUMBER(K4)=TRUE,IF(COUNTIF(K2:K48,K4)=1,"","HIBA"),"")</f>
      </c>
      <c r="K4" s="171">
        <v>10</v>
      </c>
      <c r="L4" s="185" t="s">
        <v>100</v>
      </c>
      <c r="M4" s="185" t="s">
        <v>104</v>
      </c>
      <c r="N4" s="206"/>
      <c r="O4" s="206"/>
      <c r="P4" s="206"/>
    </row>
    <row r="5" spans="1:16" ht="15.75">
      <c r="A5" s="187">
        <f>IF(D5&lt;&gt;"",2,"")</f>
        <v>2</v>
      </c>
      <c r="B5" s="126">
        <f ca="1" t="shared" si="0"/>
        <v>0.10129262641075065</v>
      </c>
      <c r="C5" s="126">
        <f>IF(ISNUMBER(D5)=TRUE,IF(COUNTIF(D4:D50,D5)=1,"","HIBA"),"")</f>
      </c>
      <c r="D5" s="186">
        <v>4</v>
      </c>
      <c r="E5" s="187" t="s">
        <v>101</v>
      </c>
      <c r="F5" s="187" t="s">
        <v>103</v>
      </c>
      <c r="G5" s="206"/>
      <c r="H5" s="206"/>
      <c r="I5" s="126">
        <f ca="1">IF(L5="…"," ",IF(L5=""," ",RAND()))</f>
        <v>0.44050031155936453</v>
      </c>
      <c r="J5" s="126">
        <f>IF(ISNUMBER(K5)=TRUE,IF(COUNTIF(K4:K50,K5)=1,"","HIBA"),"")</f>
      </c>
      <c r="K5" s="186">
        <v>4</v>
      </c>
      <c r="L5" s="187" t="s">
        <v>101</v>
      </c>
      <c r="M5" s="187" t="s">
        <v>103</v>
      </c>
      <c r="N5" s="206"/>
      <c r="O5" s="206"/>
      <c r="P5" s="206"/>
    </row>
    <row r="6" spans="1:16" ht="15.75">
      <c r="A6" s="187">
        <f>IF(D6&lt;&gt;"",3,"")</f>
        <v>3</v>
      </c>
      <c r="B6" s="126">
        <f ca="1" t="shared" si="0"/>
        <v>0.35807468410078747</v>
      </c>
      <c r="C6" s="126">
        <f>IF(ISNUMBER(D6)=TRUE,IF(COUNTIF(D4:D50,D6)=1,"","HIBA"),"")</f>
      </c>
      <c r="D6" s="186">
        <v>10</v>
      </c>
      <c r="E6" s="187" t="s">
        <v>100</v>
      </c>
      <c r="F6" s="187" t="s">
        <v>104</v>
      </c>
      <c r="G6" s="206"/>
      <c r="H6" s="206"/>
      <c r="I6" s="126">
        <f ca="1">IF(L6="…"," ",IF(L6=""," ",RAND()))</f>
        <v>0.4899015712282141</v>
      </c>
      <c r="J6" s="126">
        <f>IF(ISNUMBER(K6)=TRUE,IF(COUNTIF(K2:K48,K6)=1,"","HIBA"),"")</f>
      </c>
      <c r="K6" s="186">
        <v>3</v>
      </c>
      <c r="L6" s="187" t="s">
        <v>106</v>
      </c>
      <c r="M6" s="187"/>
      <c r="N6" s="206"/>
      <c r="O6" s="206"/>
      <c r="P6" s="206"/>
    </row>
    <row r="7" spans="1:16" ht="15.75">
      <c r="A7" s="187">
        <f>IF(D7&lt;&gt;"",4,"")</f>
        <v>4</v>
      </c>
      <c r="B7" s="126">
        <f ca="1" t="shared" si="0"/>
        <v>0.2054671193480353</v>
      </c>
      <c r="C7" s="126">
        <f>IF(ISNUMBER(D7)=TRUE,IF(COUNTIF(D4:D50,D7)=1,"","HIBA"),"")</f>
      </c>
      <c r="D7" s="186">
        <v>8</v>
      </c>
      <c r="E7" s="187" t="s">
        <v>102</v>
      </c>
      <c r="F7" s="187" t="s">
        <v>105</v>
      </c>
      <c r="G7" s="206"/>
      <c r="H7" s="206"/>
      <c r="I7" s="126">
        <f ca="1">IF(L7="…"," ",IF(L7=""," ",RAND()))</f>
        <v>0.9214555370641601</v>
      </c>
      <c r="J7" s="126">
        <f>IF(ISNUMBER(K7)=TRUE,IF(COUNTIF(K4:K50,K7)=1,"","HIBA"),"")</f>
      </c>
      <c r="K7" s="186">
        <v>8</v>
      </c>
      <c r="L7" s="187" t="s">
        <v>102</v>
      </c>
      <c r="M7" s="187" t="s">
        <v>105</v>
      </c>
      <c r="N7" s="206"/>
      <c r="O7" s="206"/>
      <c r="P7" s="206"/>
    </row>
    <row r="8" spans="1:16" ht="15.75">
      <c r="A8" s="187">
        <f>IF(D8&lt;&gt;"",5,"")</f>
        <v>5</v>
      </c>
      <c r="B8" s="126">
        <f ca="1" t="shared" si="0"/>
        <v>0.5157612031964163</v>
      </c>
      <c r="C8" s="126">
        <f>IF(ISNUMBER(D8)=TRUE,IF(COUNTIF(D4:D50,D8)=1,"","HIBA"),"")</f>
      </c>
      <c r="D8" s="186">
        <v>3</v>
      </c>
      <c r="E8" s="187" t="s">
        <v>106</v>
      </c>
      <c r="F8" s="187"/>
      <c r="G8" s="206"/>
      <c r="H8" s="206"/>
      <c r="I8" s="126">
        <f ca="1">IF(L8="…"," ",IF(L8=""," ",RAND()))</f>
        <v>0.7099241365649459</v>
      </c>
      <c r="J8" s="126">
        <f>IF(ISNUMBER(K8)=TRUE,IF(COUNTIF(K8:K54,K8)=1,"","HIBA"),"")</f>
      </c>
      <c r="K8" s="186">
        <v>7</v>
      </c>
      <c r="L8" s="187" t="s">
        <v>99</v>
      </c>
      <c r="M8" s="187" t="s">
        <v>103</v>
      </c>
      <c r="N8" s="206"/>
      <c r="O8" s="206"/>
      <c r="P8" s="206"/>
    </row>
    <row r="9" spans="1:16" ht="15.75">
      <c r="A9" s="187">
        <f>IF(D9&lt;&gt;"",6,"")</f>
      </c>
      <c r="B9" s="126" t="str">
        <f ca="1" t="shared" si="0"/>
        <v> </v>
      </c>
      <c r="C9" s="126">
        <f>IF(ISNUMBER(D9)=TRUE,IF(COUNTIF(D4:D50,D9)=1,"","HIBA"),"")</f>
      </c>
      <c r="D9" s="186"/>
      <c r="E9" s="187"/>
      <c r="F9" s="187"/>
      <c r="G9" s="206"/>
      <c r="H9" s="206"/>
      <c r="I9" s="206"/>
      <c r="J9" s="206"/>
      <c r="K9" s="206"/>
      <c r="L9" s="206"/>
      <c r="M9" s="206"/>
      <c r="N9" s="206"/>
      <c r="O9" s="206"/>
      <c r="P9" s="206"/>
    </row>
    <row r="10" spans="1:16" ht="15.75">
      <c r="A10" s="187">
        <f>IF(D10&lt;&gt;"",7,"")</f>
      </c>
      <c r="B10" s="126" t="str">
        <f ca="1" t="shared" si="0"/>
        <v> </v>
      </c>
      <c r="C10" s="126">
        <f>IF(ISNUMBER(D10)=TRUE,IF(COUNTIF(D4:D50,D10)=1,"","HIBA"),"")</f>
      </c>
      <c r="D10" s="186"/>
      <c r="E10" s="187"/>
      <c r="F10" s="187"/>
      <c r="G10" s="206"/>
      <c r="H10" s="206"/>
      <c r="I10" s="206"/>
      <c r="J10" s="206"/>
      <c r="K10" s="206"/>
      <c r="L10" s="206"/>
      <c r="M10" s="206"/>
      <c r="N10" s="206"/>
      <c r="O10" s="206"/>
      <c r="P10" s="206"/>
    </row>
    <row r="11" spans="1:16" ht="15.75">
      <c r="A11" s="187">
        <f>IF(D11&lt;&gt;"",8,"")</f>
      </c>
      <c r="B11" s="126" t="str">
        <f ca="1" t="shared" si="0"/>
        <v> </v>
      </c>
      <c r="C11" s="126">
        <f>IF(ISNUMBER(D11)=TRUE,IF(COUNTIF(D4:D50,D11)=1,"","HIBA"),"")</f>
      </c>
      <c r="D11" s="186"/>
      <c r="E11" s="187"/>
      <c r="F11" s="187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spans="1:16" ht="15.75">
      <c r="A12" s="187">
        <f>IF(D12&lt;&gt;"",9,"")</f>
      </c>
      <c r="B12" s="126" t="str">
        <f ca="1" t="shared" si="0"/>
        <v> </v>
      </c>
      <c r="C12" s="126">
        <f>IF(ISNUMBER(D12)=TRUE,IF(COUNTIF(D4:D50,D12)=1,"","HIBA"),"")</f>
      </c>
      <c r="D12" s="186"/>
      <c r="E12" s="187"/>
      <c r="F12" s="187"/>
      <c r="G12" s="206"/>
      <c r="H12" s="206"/>
      <c r="I12" s="206"/>
      <c r="J12" s="206"/>
      <c r="K12" s="206"/>
      <c r="L12" s="206"/>
      <c r="M12" s="206"/>
      <c r="N12" s="206"/>
      <c r="O12" s="206"/>
      <c r="P12" s="206"/>
    </row>
    <row r="13" spans="1:16" ht="15.75">
      <c r="A13" s="187">
        <f>IF(D13&lt;&gt;"",10,"")</f>
      </c>
      <c r="B13" s="126" t="str">
        <f ca="1" t="shared" si="0"/>
        <v> </v>
      </c>
      <c r="C13" s="126">
        <f>IF(ISNUMBER(D13)=TRUE,IF(COUNTIF(D4:D50,D13)=1,"","HIBA"),"")</f>
      </c>
      <c r="D13" s="186"/>
      <c r="E13" s="187"/>
      <c r="F13" s="187"/>
      <c r="G13" s="206"/>
      <c r="H13" s="206"/>
      <c r="I13" s="206"/>
      <c r="J13" s="206"/>
      <c r="K13" s="206"/>
      <c r="L13" s="206"/>
      <c r="M13" s="206"/>
      <c r="N13" s="206"/>
      <c r="O13" s="206"/>
      <c r="P13" s="206"/>
    </row>
    <row r="14" spans="1:17" ht="15.75">
      <c r="A14" s="187">
        <f>IF(D14&lt;&gt;"",11,"")</f>
      </c>
      <c r="B14" s="126" t="str">
        <f ca="1" t="shared" si="0"/>
        <v> </v>
      </c>
      <c r="C14" s="126">
        <f>IF(ISNUMBER(D14)=TRUE,IF(COUNTIF(D4:D50,D14)=1,"","HIBA"),"")</f>
      </c>
      <c r="D14" s="186"/>
      <c r="E14" s="187"/>
      <c r="F14" s="18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6" ht="15.75">
      <c r="A15" s="187">
        <f>IF(D15&lt;&gt;"",12,"")</f>
      </c>
      <c r="B15" s="126" t="str">
        <f ca="1" t="shared" si="0"/>
        <v> </v>
      </c>
      <c r="C15" s="126">
        <f>IF(ISNUMBER(D15)=TRUE,IF(COUNTIF(D4:D50,D15)=1,"","HIBA"),"")</f>
      </c>
      <c r="D15" s="186"/>
      <c r="E15" s="187"/>
      <c r="F15" s="187"/>
      <c r="G15" s="206"/>
      <c r="H15" s="206"/>
      <c r="I15" s="206"/>
      <c r="J15" s="206"/>
      <c r="K15" s="206"/>
      <c r="L15" s="206"/>
      <c r="M15" s="206"/>
      <c r="N15" s="206"/>
      <c r="O15" s="206"/>
      <c r="P15" s="206"/>
    </row>
    <row r="16" spans="1:16" ht="15.75">
      <c r="A16" s="187">
        <f>IF(D16&lt;&gt;"",13,"")</f>
      </c>
      <c r="B16" s="126" t="str">
        <f ca="1" t="shared" si="0"/>
        <v> </v>
      </c>
      <c r="C16" s="126">
        <f>IF(ISNUMBER(D16)=TRUE,IF(COUNTIF(D4:D50,D16)=1,"","HIBA"),"")</f>
      </c>
      <c r="D16" s="186"/>
      <c r="E16" s="187"/>
      <c r="F16" s="187"/>
      <c r="G16" s="206"/>
      <c r="H16" s="206"/>
      <c r="I16" s="206"/>
      <c r="J16" s="206"/>
      <c r="K16" s="206"/>
      <c r="L16" s="206"/>
      <c r="M16" s="206"/>
      <c r="N16" s="206"/>
      <c r="O16" s="206"/>
      <c r="P16" s="206"/>
    </row>
    <row r="17" spans="1:16" ht="15.75">
      <c r="A17" s="187">
        <f>IF(D17&lt;&gt;"",14,"")</f>
      </c>
      <c r="B17" s="126" t="str">
        <f ca="1" t="shared" si="0"/>
        <v> </v>
      </c>
      <c r="C17" s="126">
        <f>IF(ISNUMBER(D17)=TRUE,IF(COUNTIF(D4:D50,D17)=1,"","HIBA"),"")</f>
      </c>
      <c r="D17" s="186"/>
      <c r="E17" s="187"/>
      <c r="F17" s="187"/>
      <c r="G17" s="206"/>
      <c r="H17" s="206"/>
      <c r="I17" s="206"/>
      <c r="J17" s="206"/>
      <c r="K17" s="206"/>
      <c r="L17" s="206"/>
      <c r="M17" s="206"/>
      <c r="N17" s="206"/>
      <c r="O17" s="206"/>
      <c r="P17" s="206"/>
    </row>
    <row r="18" spans="1:16" ht="15.75">
      <c r="A18" s="187">
        <f>IF(D18&lt;&gt;"",15,"")</f>
      </c>
      <c r="B18" s="126" t="str">
        <f ca="1" t="shared" si="0"/>
        <v> </v>
      </c>
      <c r="C18" s="126">
        <f>IF(ISNUMBER(D18)=TRUE,IF(COUNTIF(D4:D50,D18)=1,"","HIBA"),"")</f>
      </c>
      <c r="D18" s="186"/>
      <c r="E18" s="187"/>
      <c r="F18" s="187"/>
      <c r="G18" s="206"/>
      <c r="H18" s="206"/>
      <c r="I18" s="206"/>
      <c r="J18" s="206"/>
      <c r="K18" s="206"/>
      <c r="L18" s="206"/>
      <c r="M18" s="206"/>
      <c r="N18" s="206"/>
      <c r="O18" s="206"/>
      <c r="P18" s="206"/>
    </row>
    <row r="19" spans="1:16" ht="15.75">
      <c r="A19" s="187">
        <f>IF(D19&lt;&gt;"",16,"")</f>
      </c>
      <c r="B19" s="126" t="str">
        <f ca="1" t="shared" si="0"/>
        <v> </v>
      </c>
      <c r="C19" s="126">
        <f>IF(ISNUMBER(D19)=TRUE,IF(COUNTIF(D4:D50,D19)=1,"","HIBA"),"")</f>
      </c>
      <c r="D19" s="186"/>
      <c r="E19" s="187"/>
      <c r="F19" s="187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1:16" ht="15.75">
      <c r="A20" s="187">
        <f>IF(D20&lt;&gt;"","17","")</f>
      </c>
      <c r="B20" s="126" t="str">
        <f aca="true" ca="1" t="shared" si="1" ref="B20:B33">IF(E20="…"," ",IF(E20=""," ",RAND()))</f>
        <v> </v>
      </c>
      <c r="C20" s="126">
        <f>IF(ISNUMBER(D20)=TRUE,IF(COUNTIF(D4:D50,D20)=1,"","HIBA"),"")</f>
      </c>
      <c r="D20" s="186"/>
      <c r="E20" s="187"/>
      <c r="F20" s="187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1:16" ht="15.75">
      <c r="A21" s="187">
        <f>IF(D21&lt;&gt;"",18,"")</f>
      </c>
      <c r="B21" s="126" t="str">
        <f ca="1" t="shared" si="1"/>
        <v> </v>
      </c>
      <c r="C21" s="126">
        <f>IF(ISNUMBER(D21)=TRUE,IF(COUNTIF(D4:D50,D21)=1,"","HIBA"),"")</f>
      </c>
      <c r="D21" s="186"/>
      <c r="E21" s="187"/>
      <c r="F21" s="187"/>
      <c r="G21" s="206"/>
      <c r="H21" s="206"/>
      <c r="I21" s="206"/>
      <c r="J21" s="206"/>
      <c r="K21" s="206"/>
      <c r="L21" s="206"/>
      <c r="M21" s="206"/>
      <c r="N21" s="206"/>
      <c r="O21" s="206"/>
      <c r="P21" s="206"/>
    </row>
    <row r="22" spans="1:16" ht="15.75">
      <c r="A22" s="187">
        <f>IF(D22&lt;&gt;"",19,"")</f>
      </c>
      <c r="B22" s="126" t="str">
        <f ca="1" t="shared" si="1"/>
        <v> </v>
      </c>
      <c r="C22" s="126">
        <f>IF(ISNUMBER(D22)=TRUE,IF(COUNTIF(D4:D50,D22)=1,"","HIBA"),"")</f>
      </c>
      <c r="D22" s="186"/>
      <c r="E22" s="187"/>
      <c r="F22" s="187"/>
      <c r="G22" s="206"/>
      <c r="H22" s="206"/>
      <c r="I22" s="206"/>
      <c r="J22" s="206"/>
      <c r="K22" s="206"/>
      <c r="L22" s="206"/>
      <c r="M22" s="206"/>
      <c r="N22" s="206"/>
      <c r="O22" s="206"/>
      <c r="P22" s="206"/>
    </row>
    <row r="23" spans="1:16" ht="15.75">
      <c r="A23" s="187">
        <f>IF(D23&lt;&gt;"",20,"")</f>
      </c>
      <c r="B23" s="126" t="str">
        <f ca="1" t="shared" si="1"/>
        <v> </v>
      </c>
      <c r="C23" s="126">
        <f>IF(ISNUMBER(D23)=TRUE,IF(COUNTIF(D4:D50,D23)=1,"","HIBA"),"")</f>
      </c>
      <c r="D23" s="186"/>
      <c r="E23" s="187"/>
      <c r="F23" s="187"/>
      <c r="G23" s="206"/>
      <c r="H23" s="206"/>
      <c r="I23" s="206"/>
      <c r="J23" s="206"/>
      <c r="K23" s="206"/>
      <c r="L23" s="206"/>
      <c r="M23" s="206"/>
      <c r="N23" s="206"/>
      <c r="O23" s="206"/>
      <c r="P23" s="206"/>
    </row>
    <row r="24" spans="1:16" ht="15.75">
      <c r="A24" s="187">
        <f>IF(D24&lt;&gt;"",21,"")</f>
      </c>
      <c r="B24" s="126" t="str">
        <f ca="1" t="shared" si="1"/>
        <v> </v>
      </c>
      <c r="C24" s="126">
        <f>IF(ISNUMBER(D24)=TRUE,IF(COUNTIF(D4:D50,D24)=1,"","HIBA"),"")</f>
      </c>
      <c r="D24" s="186"/>
      <c r="E24" s="187"/>
      <c r="F24" s="187"/>
      <c r="G24" s="206"/>
      <c r="H24" s="206"/>
      <c r="I24" s="206"/>
      <c r="J24" s="206"/>
      <c r="K24" s="206"/>
      <c r="L24" s="206"/>
      <c r="M24" s="206"/>
      <c r="N24" s="206"/>
      <c r="O24" s="206"/>
      <c r="P24" s="206"/>
    </row>
    <row r="25" spans="1:16" ht="15.75">
      <c r="A25" s="187">
        <f>IF(D25&lt;&gt;"",22,"")</f>
      </c>
      <c r="B25" s="126" t="str">
        <f ca="1" t="shared" si="1"/>
        <v> </v>
      </c>
      <c r="C25" s="126">
        <f>IF(ISNUMBER(D25)=TRUE,IF(COUNTIF(D4:D50,D25)=1,"","HIBA"),"")</f>
      </c>
      <c r="D25" s="186"/>
      <c r="E25" s="187"/>
      <c r="F25" s="187"/>
      <c r="G25" s="206"/>
      <c r="H25" s="206"/>
      <c r="I25" s="206"/>
      <c r="J25" s="206"/>
      <c r="K25" s="206"/>
      <c r="L25" s="206"/>
      <c r="M25" s="206"/>
      <c r="N25" s="206"/>
      <c r="O25" s="206"/>
      <c r="P25" s="206"/>
    </row>
    <row r="26" spans="1:16" ht="15.75">
      <c r="A26" s="187">
        <f>IF(D26&lt;&gt;"",23,"")</f>
      </c>
      <c r="B26" s="126" t="str">
        <f ca="1" t="shared" si="1"/>
        <v> </v>
      </c>
      <c r="C26" s="126">
        <f>IF(ISNUMBER(D26)=TRUE,IF(COUNTIF(D4:D50,D26)=1,"","HIBA"),"")</f>
      </c>
      <c r="D26" s="186"/>
      <c r="E26" s="187"/>
      <c r="F26" s="187"/>
      <c r="G26" s="206"/>
      <c r="H26" s="206"/>
      <c r="I26" s="206"/>
      <c r="J26" s="206"/>
      <c r="K26" s="206"/>
      <c r="L26" s="206"/>
      <c r="M26" s="206"/>
      <c r="N26" s="206"/>
      <c r="O26" s="206"/>
      <c r="P26" s="206"/>
    </row>
    <row r="27" spans="1:16" ht="15.75">
      <c r="A27" s="187">
        <f>IF(D27&lt;&gt;"",24,"")</f>
      </c>
      <c r="B27" s="126" t="str">
        <f ca="1" t="shared" si="1"/>
        <v> </v>
      </c>
      <c r="C27" s="126">
        <f>IF(ISNUMBER(D27)=TRUE,IF(COUNTIF(D4:D50,D27)=1,"","HIBA"),"")</f>
      </c>
      <c r="D27" s="186"/>
      <c r="E27" s="187"/>
      <c r="F27" s="187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  <row r="28" spans="1:16" ht="15.75">
      <c r="A28" s="187">
        <f>IF(D28&lt;&gt;"",25,"")</f>
      </c>
      <c r="B28" s="126" t="str">
        <f ca="1" t="shared" si="1"/>
        <v> </v>
      </c>
      <c r="C28" s="126">
        <f>IF(ISNUMBER(D28)=TRUE,IF(COUNTIF(D4:D50,D28)=1,"","HIBA"),"")</f>
      </c>
      <c r="D28" s="186"/>
      <c r="E28" s="187"/>
      <c r="F28" s="187"/>
      <c r="G28" s="206"/>
      <c r="H28" s="206"/>
      <c r="I28" s="206"/>
      <c r="J28" s="206"/>
      <c r="K28" s="206"/>
      <c r="L28" s="206"/>
      <c r="M28" s="206"/>
      <c r="N28" s="206"/>
      <c r="O28" s="206"/>
      <c r="P28" s="206"/>
    </row>
    <row r="29" spans="1:16" ht="15.75">
      <c r="A29" s="187">
        <f>IF(D29&lt;&gt;"",26,"")</f>
      </c>
      <c r="B29" s="126" t="str">
        <f ca="1" t="shared" si="1"/>
        <v> </v>
      </c>
      <c r="C29" s="126">
        <f>IF(ISNUMBER(D29)=TRUE,IF(COUNTIF(D4:D50,D29)=1,"","HIBA"),"")</f>
      </c>
      <c r="D29" s="186"/>
      <c r="E29" s="187"/>
      <c r="F29" s="187"/>
      <c r="G29" s="206"/>
      <c r="H29" s="206"/>
      <c r="I29" s="206"/>
      <c r="J29" s="206"/>
      <c r="K29" s="206"/>
      <c r="L29" s="206"/>
      <c r="M29" s="206"/>
      <c r="N29" s="206"/>
      <c r="O29" s="206"/>
      <c r="P29" s="206"/>
    </row>
    <row r="30" spans="1:16" ht="15.75">
      <c r="A30" s="187">
        <f>IF(D30&lt;&gt;"",27,"")</f>
      </c>
      <c r="B30" s="126" t="str">
        <f ca="1" t="shared" si="1"/>
        <v> </v>
      </c>
      <c r="C30" s="126">
        <f>IF(ISNUMBER(D30)=TRUE,IF(COUNTIF(D4:D50,D30)=1,"","HIBA"),"")</f>
      </c>
      <c r="D30" s="186"/>
      <c r="E30" s="187"/>
      <c r="F30" s="187"/>
      <c r="G30" s="206"/>
      <c r="H30" s="206"/>
      <c r="I30" s="206"/>
      <c r="J30" s="206"/>
      <c r="K30" s="206"/>
      <c r="L30" s="206"/>
      <c r="M30" s="206"/>
      <c r="N30" s="206"/>
      <c r="O30" s="206"/>
      <c r="P30" s="206"/>
    </row>
    <row r="31" spans="1:16" ht="15.75">
      <c r="A31" s="187">
        <f>IF(D31&lt;&gt;"",28,"")</f>
      </c>
      <c r="B31" s="126" t="str">
        <f ca="1" t="shared" si="1"/>
        <v> </v>
      </c>
      <c r="C31" s="126">
        <f>IF(ISNUMBER(D31)=TRUE,IF(COUNTIF(D4:D50,D31)=1,"","HIBA"),"")</f>
      </c>
      <c r="D31" s="186"/>
      <c r="E31" s="187"/>
      <c r="F31" s="187"/>
      <c r="G31" s="206"/>
      <c r="H31" s="206"/>
      <c r="I31" s="206"/>
      <c r="J31" s="206"/>
      <c r="K31" s="206"/>
      <c r="L31" s="206"/>
      <c r="M31" s="206"/>
      <c r="N31" s="206"/>
      <c r="O31" s="206"/>
      <c r="P31" s="206"/>
    </row>
    <row r="32" spans="1:16" ht="15.75">
      <c r="A32" s="187">
        <f>IF(D32&lt;&gt;"",29,"")</f>
      </c>
      <c r="B32" s="126" t="str">
        <f ca="1" t="shared" si="1"/>
        <v> </v>
      </c>
      <c r="C32" s="126">
        <f>IF(ISNUMBER(D32)=TRUE,IF(COUNTIF(D4:D50,D32)=1,"","HIBA"),"")</f>
      </c>
      <c r="D32" s="186"/>
      <c r="E32" s="187"/>
      <c r="F32" s="187"/>
      <c r="G32" s="206"/>
      <c r="H32" s="206"/>
      <c r="I32" s="206"/>
      <c r="J32" s="206"/>
      <c r="K32" s="206"/>
      <c r="L32" s="206"/>
      <c r="M32" s="206"/>
      <c r="N32" s="206"/>
      <c r="O32" s="206"/>
      <c r="P32" s="206"/>
    </row>
    <row r="33" spans="1:16" ht="15.75">
      <c r="A33" s="187">
        <f>IF(D33&lt;&gt;"",30,"")</f>
      </c>
      <c r="B33" s="126" t="str">
        <f ca="1" t="shared" si="1"/>
        <v> </v>
      </c>
      <c r="C33" s="126">
        <f>IF(ISNUMBER(D33)=TRUE,IF(COUNTIF(D4:D50,D33)=1,"","HIBA"),"")</f>
      </c>
      <c r="D33" s="186"/>
      <c r="E33" s="187"/>
      <c r="F33" s="187"/>
      <c r="G33" s="206"/>
      <c r="H33" s="206"/>
      <c r="I33" s="206"/>
      <c r="J33" s="206"/>
      <c r="K33" s="206"/>
      <c r="L33" s="206"/>
      <c r="M33" s="206"/>
      <c r="N33" s="206"/>
      <c r="O33" s="206"/>
      <c r="P33" s="206"/>
    </row>
    <row r="34" spans="1:16" ht="15.75">
      <c r="A34" s="187">
        <f>IF(D34&lt;&gt;"",31,"")</f>
      </c>
      <c r="B34" s="126" t="str">
        <f aca="true" ca="1" t="shared" si="2" ref="B34:B50">IF(E34="…"," ",IF(E34=""," ",RAND()))</f>
        <v> </v>
      </c>
      <c r="C34" s="126">
        <f>IF(ISNUMBER(D34)=TRUE,IF(COUNTIF(D4:D50,D34)=1,"","HIBA"),"")</f>
      </c>
      <c r="D34" s="186"/>
      <c r="E34" s="187"/>
      <c r="F34" s="187"/>
      <c r="G34" s="206"/>
      <c r="H34" s="206"/>
      <c r="I34" s="206"/>
      <c r="J34" s="206"/>
      <c r="K34" s="206"/>
      <c r="L34" s="206"/>
      <c r="M34" s="206"/>
      <c r="N34" s="206"/>
      <c r="O34" s="206"/>
      <c r="P34" s="206"/>
    </row>
    <row r="35" spans="1:16" ht="15.75">
      <c r="A35" s="187">
        <f>IF(D35&lt;&gt;"",32,"")</f>
      </c>
      <c r="B35" s="126" t="str">
        <f ca="1" t="shared" si="2"/>
        <v> </v>
      </c>
      <c r="C35" s="126">
        <f>IF(ISNUMBER(D35)=TRUE,IF(COUNTIF(D4:D50,D35)=1,"","HIBA"),"")</f>
      </c>
      <c r="D35" s="186"/>
      <c r="E35" s="187"/>
      <c r="F35" s="187"/>
      <c r="G35" s="206"/>
      <c r="H35" s="206"/>
      <c r="I35" s="206"/>
      <c r="J35" s="206"/>
      <c r="K35" s="206"/>
      <c r="L35" s="206"/>
      <c r="M35" s="206"/>
      <c r="N35" s="206"/>
      <c r="O35" s="206"/>
      <c r="P35" s="206"/>
    </row>
    <row r="36" spans="1:16" ht="15.75">
      <c r="A36" s="187">
        <f>IF(D36&lt;&gt;"",33,"")</f>
      </c>
      <c r="B36" s="126" t="str">
        <f ca="1" t="shared" si="2"/>
        <v> </v>
      </c>
      <c r="C36" s="126">
        <f>IF(ISNUMBER(D36)=TRUE,IF(COUNTIF(D4:D50,D36)=1,"","HIBA"),"")</f>
      </c>
      <c r="D36" s="186"/>
      <c r="E36" s="187"/>
      <c r="F36" s="187"/>
      <c r="G36" s="206"/>
      <c r="H36" s="206"/>
      <c r="I36" s="206"/>
      <c r="J36" s="206"/>
      <c r="K36" s="206"/>
      <c r="L36" s="206"/>
      <c r="M36" s="206"/>
      <c r="N36" s="206"/>
      <c r="O36" s="206"/>
      <c r="P36" s="206"/>
    </row>
    <row r="37" spans="1:16" ht="15.75">
      <c r="A37" s="187">
        <f>IF(D37&lt;&gt;"",34,"")</f>
      </c>
      <c r="B37" s="126" t="str">
        <f ca="1" t="shared" si="2"/>
        <v> </v>
      </c>
      <c r="C37" s="126">
        <f>IF(ISNUMBER(D37)=TRUE,IF(COUNTIF(D4:D50,D37)=1,"","HIBA"),"")</f>
      </c>
      <c r="D37" s="186"/>
      <c r="E37" s="187"/>
      <c r="F37" s="187"/>
      <c r="G37" s="206"/>
      <c r="H37" s="206"/>
      <c r="I37" s="206"/>
      <c r="J37" s="206"/>
      <c r="K37" s="206"/>
      <c r="L37" s="206"/>
      <c r="M37" s="206"/>
      <c r="N37" s="206"/>
      <c r="O37" s="206"/>
      <c r="P37" s="206"/>
    </row>
    <row r="38" spans="1:16" ht="15.75">
      <c r="A38" s="187">
        <f>IF(D38&lt;&gt;"",35,"")</f>
      </c>
      <c r="B38" s="318" t="str">
        <f ca="1" t="shared" si="2"/>
        <v> </v>
      </c>
      <c r="C38" s="318">
        <f>IF(ISNUMBER(D38)=TRUE,IF(COUNTIF(D4:D50,D38)=1,"","HIBA"),"")</f>
      </c>
      <c r="D38" s="186"/>
      <c r="E38" s="187"/>
      <c r="F38" s="187"/>
      <c r="G38" s="206"/>
      <c r="H38" s="206"/>
      <c r="I38" s="206"/>
      <c r="J38" s="206"/>
      <c r="K38" s="206"/>
      <c r="L38" s="206"/>
      <c r="M38" s="206"/>
      <c r="N38" s="206"/>
      <c r="O38" s="206"/>
      <c r="P38" s="206"/>
    </row>
    <row r="39" spans="1:16" ht="15.75">
      <c r="A39" s="187">
        <f>IF(D39&lt;&gt;"",36,"")</f>
      </c>
      <c r="B39" s="318" t="str">
        <f ca="1" t="shared" si="2"/>
        <v> </v>
      </c>
      <c r="C39" s="318">
        <f>IF(ISNUMBER(D39)=TRUE,IF(COUNTIF(D4:D50,D39)=1,"","HIBA"),"")</f>
      </c>
      <c r="D39" s="186"/>
      <c r="E39" s="187"/>
      <c r="F39" s="187"/>
      <c r="G39" s="206"/>
      <c r="H39" s="206"/>
      <c r="I39" s="206"/>
      <c r="J39" s="206"/>
      <c r="K39" s="206"/>
      <c r="L39" s="206"/>
      <c r="M39" s="206"/>
      <c r="N39" s="206"/>
      <c r="O39" s="206"/>
      <c r="P39" s="206"/>
    </row>
    <row r="40" spans="1:16" ht="15.75">
      <c r="A40" s="187">
        <f>IF(D40&lt;&gt;"",37,"")</f>
      </c>
      <c r="B40" s="318" t="str">
        <f ca="1" t="shared" si="2"/>
        <v> </v>
      </c>
      <c r="C40" s="318">
        <f>IF(ISNUMBER(D40)=TRUE,IF(COUNTIF(D4:D50,D40)=1,"","HIBA"),"")</f>
      </c>
      <c r="D40" s="186"/>
      <c r="E40" s="187"/>
      <c r="F40" s="187"/>
      <c r="G40" s="206"/>
      <c r="H40" s="206"/>
      <c r="I40" s="206"/>
      <c r="J40" s="206"/>
      <c r="K40" s="206"/>
      <c r="L40" s="206"/>
      <c r="M40" s="206"/>
      <c r="N40" s="206"/>
      <c r="O40" s="206"/>
      <c r="P40" s="206"/>
    </row>
    <row r="41" spans="1:16" ht="15.75">
      <c r="A41" s="187">
        <f>IF(D41&lt;&gt;"",38,"")</f>
      </c>
      <c r="B41" s="318" t="str">
        <f ca="1" t="shared" si="2"/>
        <v> </v>
      </c>
      <c r="C41" s="318">
        <f>IF(ISNUMBER(D41)=TRUE,IF(COUNTIF(D4:D50,D41)=1,"","HIBA"),"")</f>
      </c>
      <c r="D41" s="186"/>
      <c r="E41" s="187"/>
      <c r="F41" s="187"/>
      <c r="G41" s="206"/>
      <c r="H41" s="206"/>
      <c r="I41" s="206"/>
      <c r="J41" s="206"/>
      <c r="K41" s="206"/>
      <c r="L41" s="206"/>
      <c r="M41" s="206"/>
      <c r="N41" s="206"/>
      <c r="O41" s="206"/>
      <c r="P41" s="206"/>
    </row>
    <row r="42" spans="1:16" ht="15.75">
      <c r="A42" s="187">
        <f>IF(D42&lt;&gt;"",39,"")</f>
      </c>
      <c r="B42" s="318" t="str">
        <f ca="1" t="shared" si="2"/>
        <v> </v>
      </c>
      <c r="C42" s="318">
        <f>IF(ISNUMBER(D42)=TRUE,IF(COUNTIF(D4:D50,D42)=1,"","HIBA"),"")</f>
      </c>
      <c r="D42" s="186"/>
      <c r="E42" s="187"/>
      <c r="F42" s="187"/>
      <c r="G42" s="206"/>
      <c r="H42" s="206"/>
      <c r="I42" s="206"/>
      <c r="J42" s="206"/>
      <c r="K42" s="206"/>
      <c r="L42" s="206"/>
      <c r="M42" s="206"/>
      <c r="N42" s="206"/>
      <c r="O42" s="206"/>
      <c r="P42" s="206"/>
    </row>
    <row r="43" spans="1:16" ht="15.75">
      <c r="A43" s="187">
        <f>IF(D43&lt;&gt;"",40,"")</f>
      </c>
      <c r="B43" s="318" t="str">
        <f ca="1" t="shared" si="2"/>
        <v> </v>
      </c>
      <c r="C43" s="318">
        <f>IF(ISNUMBER(D43)=TRUE,IF(COUNTIF(D4:D50,D43)=1,"","HIBA"),"")</f>
      </c>
      <c r="D43" s="186"/>
      <c r="E43" s="187"/>
      <c r="F43" s="187"/>
      <c r="G43" s="206"/>
      <c r="H43" s="206"/>
      <c r="I43" s="206"/>
      <c r="J43" s="206"/>
      <c r="K43" s="206"/>
      <c r="L43" s="206"/>
      <c r="M43" s="206"/>
      <c r="N43" s="206"/>
      <c r="O43" s="206"/>
      <c r="P43" s="206"/>
    </row>
    <row r="44" spans="1:16" ht="15.75">
      <c r="A44" s="187">
        <f>IF(D44&lt;&gt;"",41,"")</f>
      </c>
      <c r="B44" s="318" t="str">
        <f ca="1" t="shared" si="2"/>
        <v> </v>
      </c>
      <c r="C44" s="318">
        <f>IF(ISNUMBER(D44)=TRUE,IF(COUNTIF(D4:D50,D44)=1,"","HIBA"),"")</f>
      </c>
      <c r="D44" s="186"/>
      <c r="E44" s="187"/>
      <c r="F44" s="187"/>
      <c r="G44" s="206"/>
      <c r="H44" s="206"/>
      <c r="I44" s="206"/>
      <c r="J44" s="206"/>
      <c r="K44" s="206"/>
      <c r="L44" s="206"/>
      <c r="M44" s="206"/>
      <c r="N44" s="206"/>
      <c r="O44" s="206"/>
      <c r="P44" s="206"/>
    </row>
    <row r="45" spans="1:16" ht="15.75">
      <c r="A45" s="187">
        <f>IF(D45&lt;&gt;"",42,"")</f>
      </c>
      <c r="B45" s="318" t="str">
        <f ca="1" t="shared" si="2"/>
        <v> </v>
      </c>
      <c r="C45" s="318">
        <f>IF(ISNUMBER(D45)=TRUE,IF(COUNTIF(D4:D50,D45)=1,"","HIBA"),"")</f>
      </c>
      <c r="D45" s="186"/>
      <c r="E45" s="187"/>
      <c r="F45" s="187"/>
      <c r="G45" s="206"/>
      <c r="H45" s="206"/>
      <c r="I45" s="206"/>
      <c r="J45" s="206"/>
      <c r="K45" s="206"/>
      <c r="L45" s="206"/>
      <c r="M45" s="206"/>
      <c r="N45" s="206"/>
      <c r="O45" s="206"/>
      <c r="P45" s="206"/>
    </row>
    <row r="46" spans="1:16" ht="15.75">
      <c r="A46" s="187">
        <f>IF(D46&lt;&gt;"",43,"")</f>
      </c>
      <c r="B46" s="318" t="str">
        <f ca="1" t="shared" si="2"/>
        <v> </v>
      </c>
      <c r="C46" s="318">
        <f>IF(ISNUMBER(D46)=TRUE,IF(COUNTIF(D4:D50,D46)=1,"","HIBA"),"")</f>
      </c>
      <c r="D46" s="186"/>
      <c r="E46" s="187"/>
      <c r="F46" s="187"/>
      <c r="G46" s="206"/>
      <c r="H46" s="206"/>
      <c r="I46" s="206"/>
      <c r="J46" s="206"/>
      <c r="K46" s="206"/>
      <c r="L46" s="206"/>
      <c r="M46" s="206"/>
      <c r="N46" s="206"/>
      <c r="O46" s="206"/>
      <c r="P46" s="206"/>
    </row>
    <row r="47" spans="1:16" ht="15.75">
      <c r="A47" s="187">
        <f>IF(D47&lt;&gt;"",44,"")</f>
      </c>
      <c r="B47" s="318" t="str">
        <f ca="1" t="shared" si="2"/>
        <v> </v>
      </c>
      <c r="C47" s="318">
        <f>IF(ISNUMBER(D47)=TRUE,IF(COUNTIF(D4:D50,D47)=1,"","HIBA"),"")</f>
      </c>
      <c r="D47" s="186"/>
      <c r="E47" s="187"/>
      <c r="F47" s="187"/>
      <c r="G47" s="206"/>
      <c r="H47" s="206"/>
      <c r="I47" s="206"/>
      <c r="J47" s="206"/>
      <c r="K47" s="206"/>
      <c r="L47" s="206"/>
      <c r="M47" s="206"/>
      <c r="N47" s="206"/>
      <c r="O47" s="206"/>
      <c r="P47" s="206"/>
    </row>
    <row r="48" spans="1:16" ht="15.75">
      <c r="A48" s="187">
        <f>IF(D48&lt;&gt;"",30,"")</f>
      </c>
      <c r="B48" s="318" t="str">
        <f ca="1" t="shared" si="2"/>
        <v> </v>
      </c>
      <c r="C48" s="318">
        <f>IF(ISNUMBER(D48)=TRUE,IF(COUNTIF(D4:D50,D48)=1,"","HIBA"),"")</f>
      </c>
      <c r="D48" s="186"/>
      <c r="E48" s="187"/>
      <c r="F48" s="187"/>
      <c r="G48" s="206"/>
      <c r="H48" s="206"/>
      <c r="I48" s="206"/>
      <c r="J48" s="206"/>
      <c r="K48" s="206"/>
      <c r="L48" s="206"/>
      <c r="M48" s="206"/>
      <c r="N48" s="206"/>
      <c r="O48" s="206"/>
      <c r="P48" s="206"/>
    </row>
    <row r="49" spans="1:16" ht="15.75">
      <c r="A49" s="187">
        <f>IF(D49&lt;&gt;"",45,"")</f>
      </c>
      <c r="B49" s="318" t="str">
        <f ca="1" t="shared" si="2"/>
        <v> </v>
      </c>
      <c r="C49" s="318">
        <f>IF(ISNUMBER(D49)=TRUE,IF(COUNTIF(D4:D50,D49)=1,"","HIBA"),"")</f>
      </c>
      <c r="D49" s="186"/>
      <c r="E49" s="187"/>
      <c r="F49" s="187"/>
      <c r="G49" s="206"/>
      <c r="H49" s="206"/>
      <c r="I49" s="206"/>
      <c r="J49" s="206"/>
      <c r="K49" s="206"/>
      <c r="L49" s="206"/>
      <c r="M49" s="206"/>
      <c r="N49" s="206"/>
      <c r="O49" s="206"/>
      <c r="P49" s="206"/>
    </row>
    <row r="50" spans="1:16" ht="15.75">
      <c r="A50" s="187">
        <f>IF(D50&lt;&gt;"",46,"")</f>
      </c>
      <c r="B50" s="318" t="str">
        <f ca="1" t="shared" si="2"/>
        <v> </v>
      </c>
      <c r="C50" s="318">
        <f>IF(ISNUMBER(D50)=TRUE,IF(COUNTIF(D4:D50,D50)=1,"","HIBA"),"")</f>
      </c>
      <c r="D50" s="186"/>
      <c r="E50" s="187"/>
      <c r="F50" s="187"/>
      <c r="G50" s="206"/>
      <c r="H50" s="206"/>
      <c r="I50" s="206"/>
      <c r="J50" s="206"/>
      <c r="K50" s="206"/>
      <c r="L50" s="206"/>
      <c r="M50" s="206"/>
      <c r="N50" s="206"/>
      <c r="O50" s="206"/>
      <c r="P50" s="206"/>
    </row>
  </sheetData>
  <sheetProtection/>
  <printOptions/>
  <pageMargins left="0.45" right="0.75" top="1" bottom="1" header="0.5" footer="0.5"/>
  <pageSetup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A1:N42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5.140625" style="28" customWidth="1"/>
    <col min="2" max="2" width="10.00390625" style="22" customWidth="1"/>
    <col min="3" max="3" width="48.57421875" style="2" customWidth="1"/>
    <col min="4" max="4" width="28.57421875" style="2" customWidth="1"/>
    <col min="5" max="16384" width="9.140625" style="2" customWidth="1"/>
  </cols>
  <sheetData>
    <row r="1" spans="1:14" ht="24" customHeight="1" thickBot="1">
      <c r="A1" s="146"/>
      <c r="B1" s="147"/>
      <c r="C1" s="148" t="s">
        <v>25</v>
      </c>
      <c r="D1" s="149"/>
      <c r="E1" s="174"/>
      <c r="F1" s="241" t="s">
        <v>88</v>
      </c>
      <c r="G1" s="174"/>
      <c r="H1" s="174"/>
      <c r="I1" s="174"/>
      <c r="J1" s="174"/>
      <c r="K1" s="174"/>
      <c r="L1" s="174"/>
      <c r="M1" s="174"/>
      <c r="N1" s="174"/>
    </row>
    <row r="2" spans="1:14" ht="24" customHeight="1" thickBot="1">
      <c r="A2" s="165" t="s">
        <v>6</v>
      </c>
      <c r="B2" s="147"/>
      <c r="C2" s="166" t="str">
        <f>Rajtlista!E1</f>
        <v>Boogie - Woogie</v>
      </c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21.75" customHeight="1" thickBot="1">
      <c r="A3" s="167" t="s">
        <v>5</v>
      </c>
      <c r="B3" s="158" t="s">
        <v>0</v>
      </c>
      <c r="C3" s="168" t="s">
        <v>1</v>
      </c>
      <c r="D3" s="169" t="s">
        <v>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5.75">
      <c r="A4" s="229"/>
      <c r="B4" s="171"/>
      <c r="C4" s="185"/>
      <c r="D4" s="185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>
      <c r="A5" s="232"/>
      <c r="B5" s="186"/>
      <c r="C5" s="187"/>
      <c r="D5" s="187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5.75">
      <c r="A6" s="232"/>
      <c r="B6" s="186"/>
      <c r="C6" s="187"/>
      <c r="D6" s="187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5.75">
      <c r="A7" s="232"/>
      <c r="B7" s="186"/>
      <c r="C7" s="187"/>
      <c r="D7" s="187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ht="15.75">
      <c r="A8" s="232"/>
      <c r="B8" s="186"/>
      <c r="C8" s="187"/>
      <c r="D8" s="187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ht="15.75">
      <c r="A9" s="232"/>
      <c r="B9" s="186"/>
      <c r="C9" s="187"/>
      <c r="D9" s="187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ht="15.75">
      <c r="A10" s="232"/>
      <c r="B10" s="186"/>
      <c r="C10" s="187"/>
      <c r="D10" s="187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15.75">
      <c r="A11" s="232"/>
      <c r="B11" s="186"/>
      <c r="C11" s="187"/>
      <c r="D11" s="187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ht="15.75">
      <c r="A12" s="232"/>
      <c r="B12" s="186"/>
      <c r="C12" s="187"/>
      <c r="D12" s="187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15.75">
      <c r="A13" s="232"/>
      <c r="B13" s="186"/>
      <c r="C13" s="187"/>
      <c r="D13" s="187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5.75">
      <c r="A14" s="232"/>
      <c r="B14" s="186"/>
      <c r="C14" s="187"/>
      <c r="D14" s="187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5.75">
      <c r="A15" s="232"/>
      <c r="B15" s="186"/>
      <c r="C15" s="187"/>
      <c r="D15" s="187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15.75">
      <c r="A16" s="230"/>
      <c r="B16" s="186"/>
      <c r="C16" s="187"/>
      <c r="D16" s="187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14" ht="15.75">
      <c r="A17" s="230"/>
      <c r="B17" s="186"/>
      <c r="C17" s="187"/>
      <c r="D17" s="187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15.75">
      <c r="A18" s="230"/>
      <c r="B18" s="186"/>
      <c r="C18" s="187"/>
      <c r="D18" s="187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ht="15.75">
      <c r="A19" s="230"/>
      <c r="B19" s="186"/>
      <c r="C19" s="187"/>
      <c r="D19" s="187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15.75">
      <c r="A20" s="230"/>
      <c r="B20" s="186"/>
      <c r="C20" s="187"/>
      <c r="D20" s="187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 ht="15.75">
      <c r="A21" s="230"/>
      <c r="B21" s="186"/>
      <c r="C21" s="187"/>
      <c r="D21" s="187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4" ht="15.75">
      <c r="A22" s="230"/>
      <c r="B22" s="186"/>
      <c r="C22" s="187"/>
      <c r="D22" s="187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4" ht="12.75">
      <c r="A23" s="230"/>
      <c r="B23" s="231"/>
      <c r="C23" s="232"/>
      <c r="D23" s="232"/>
      <c r="E23" s="174"/>
      <c r="F23" s="174"/>
      <c r="G23" s="174"/>
      <c r="H23" s="174"/>
      <c r="I23" s="174"/>
      <c r="J23" s="174"/>
      <c r="K23" s="174"/>
      <c r="L23" s="174"/>
      <c r="M23" s="174"/>
      <c r="N23" s="174"/>
    </row>
    <row r="24" spans="1:14" ht="12.75">
      <c r="A24" s="230"/>
      <c r="B24" s="231"/>
      <c r="C24" s="232"/>
      <c r="D24" s="232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 ht="12.75">
      <c r="A25" s="230"/>
      <c r="B25" s="231"/>
      <c r="C25" s="232"/>
      <c r="D25" s="232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ht="12.75">
      <c r="A26" s="230"/>
      <c r="B26" s="231"/>
      <c r="C26" s="232"/>
      <c r="D26" s="232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14" ht="12.75">
      <c r="A27" s="230"/>
      <c r="B27" s="231"/>
      <c r="C27" s="232"/>
      <c r="D27" s="232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4" ht="12.75">
      <c r="A28" s="230"/>
      <c r="B28" s="231"/>
      <c r="C28" s="232"/>
      <c r="D28" s="232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4" ht="12.75">
      <c r="A29" s="230"/>
      <c r="B29" s="231"/>
      <c r="C29" s="232"/>
      <c r="D29" s="232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ht="12.75">
      <c r="A30" s="230"/>
      <c r="B30" s="231"/>
      <c r="C30" s="232"/>
      <c r="D30" s="232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14" ht="12.75">
      <c r="A31" s="230"/>
      <c r="B31" s="231"/>
      <c r="C31" s="232"/>
      <c r="D31" s="232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1:14" ht="12.75">
      <c r="A32" s="230"/>
      <c r="B32" s="231"/>
      <c r="C32" s="232"/>
      <c r="D32" s="232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 ht="12.75">
      <c r="A33" s="230"/>
      <c r="B33" s="231"/>
      <c r="C33" s="232"/>
      <c r="D33" s="232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 ht="12.75">
      <c r="A34" s="230"/>
      <c r="B34" s="231"/>
      <c r="C34" s="232"/>
      <c r="D34" s="232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ht="12.75">
      <c r="A35" s="230"/>
      <c r="B35" s="231"/>
      <c r="C35" s="232"/>
      <c r="D35" s="232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230"/>
      <c r="B36" s="231"/>
      <c r="C36" s="232"/>
      <c r="D36" s="232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230"/>
      <c r="B37" s="231"/>
      <c r="C37" s="232"/>
      <c r="D37" s="232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ht="12.75">
      <c r="A38" s="230"/>
      <c r="B38" s="231"/>
      <c r="C38" s="232"/>
      <c r="D38" s="232"/>
      <c r="E38" s="174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ht="12.75">
      <c r="A39" s="172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ht="12.75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ht="12.75">
      <c r="A41" s="172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</row>
    <row r="42" spans="1:14" ht="12.75">
      <c r="A42" s="172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</sheetData>
  <sheetProtection/>
  <printOptions/>
  <pageMargins left="0.4" right="0.75" top="1" bottom="1" header="0.5" footer="0.5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E48"/>
  <sheetViews>
    <sheetView zoomScalePageLayoutView="0" workbookViewId="0" topLeftCell="A1">
      <selection activeCell="Z19" sqref="Z19"/>
    </sheetView>
  </sheetViews>
  <sheetFormatPr defaultColWidth="9.140625" defaultRowHeight="12.75"/>
  <cols>
    <col min="1" max="1" width="7.57421875" style="20" customWidth="1"/>
    <col min="2" max="2" width="7.7109375" style="24" bestFit="1" customWidth="1"/>
    <col min="3" max="4" width="2.7109375" style="24" hidden="1" customWidth="1"/>
    <col min="5" max="5" width="10.57421875" style="24" customWidth="1"/>
    <col min="6" max="6" width="3.57421875" style="24" hidden="1" customWidth="1"/>
    <col min="7" max="7" width="10.57421875" style="24" customWidth="1"/>
    <col min="8" max="8" width="3.57421875" style="24" hidden="1" customWidth="1"/>
    <col min="9" max="9" width="10.57421875" style="24" customWidth="1"/>
    <col min="10" max="10" width="3.57421875" style="24" hidden="1" customWidth="1"/>
    <col min="11" max="11" width="10.57421875" style="24" customWidth="1"/>
    <col min="12" max="12" width="5.8515625" style="24" hidden="1" customWidth="1"/>
    <col min="13" max="13" width="10.57421875" style="24" customWidth="1"/>
    <col min="14" max="14" width="4.140625" style="24" hidden="1" customWidth="1"/>
    <col min="15" max="15" width="7.7109375" style="24" customWidth="1"/>
    <col min="16" max="16" width="9.140625" style="24" hidden="1" customWidth="1"/>
    <col min="17" max="17" width="0.2890625" style="24" hidden="1" customWidth="1"/>
    <col min="18" max="18" width="8.140625" style="24" customWidth="1"/>
    <col min="19" max="19" width="4.8515625" style="24" hidden="1" customWidth="1"/>
    <col min="20" max="20" width="4.7109375" style="24" hidden="1" customWidth="1"/>
    <col min="21" max="16384" width="9.140625" style="20" customWidth="1"/>
  </cols>
  <sheetData>
    <row r="1" spans="1:30" ht="35.25" customHeight="1" thickBot="1">
      <c r="A1" s="142"/>
      <c r="B1" s="139"/>
      <c r="C1" s="139"/>
      <c r="D1" s="139"/>
      <c r="E1" s="139"/>
      <c r="F1" s="139"/>
      <c r="G1" s="139"/>
      <c r="H1" s="139"/>
      <c r="I1" s="162" t="s">
        <v>70</v>
      </c>
      <c r="J1" s="139"/>
      <c r="K1" s="139"/>
      <c r="L1" s="139"/>
      <c r="M1" s="139"/>
      <c r="N1" s="139"/>
      <c r="O1" s="139"/>
      <c r="P1" s="139"/>
      <c r="Q1" s="139"/>
      <c r="R1" s="163"/>
      <c r="S1" s="112"/>
      <c r="T1" s="112"/>
      <c r="U1" s="111"/>
      <c r="V1" s="239" t="s">
        <v>88</v>
      </c>
      <c r="W1" s="111"/>
      <c r="X1" s="111"/>
      <c r="Y1" s="111"/>
      <c r="Z1" s="111"/>
      <c r="AA1" s="111"/>
      <c r="AB1" s="111"/>
      <c r="AC1" s="111"/>
      <c r="AD1" s="111"/>
    </row>
    <row r="2" spans="1:30" ht="16.5" customHeight="1" thickBot="1">
      <c r="A2" s="160" t="s">
        <v>14</v>
      </c>
      <c r="B2" s="161"/>
      <c r="C2" s="161"/>
      <c r="D2" s="161"/>
      <c r="E2" s="260">
        <v>0</v>
      </c>
      <c r="F2" s="12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>
        <f>Rajtlista!F2</f>
        <v>5</v>
      </c>
      <c r="T2" s="112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3.5" thickBot="1">
      <c r="A3" s="111"/>
      <c r="B3" s="112"/>
      <c r="C3" s="112"/>
      <c r="D3" s="112"/>
      <c r="E3" s="112"/>
      <c r="F3" s="12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3.5" thickBot="1">
      <c r="A4" s="111"/>
      <c r="B4" s="290" t="s">
        <v>0</v>
      </c>
      <c r="C4" s="290" t="s">
        <v>1</v>
      </c>
      <c r="D4" s="290" t="s">
        <v>2</v>
      </c>
      <c r="E4" s="291" t="s">
        <v>8</v>
      </c>
      <c r="F4" s="139"/>
      <c r="G4" s="291" t="s">
        <v>9</v>
      </c>
      <c r="H4" s="139"/>
      <c r="I4" s="290" t="s">
        <v>10</v>
      </c>
      <c r="J4" s="291"/>
      <c r="K4" s="291" t="s">
        <v>11</v>
      </c>
      <c r="L4" s="291"/>
      <c r="M4" s="139" t="s">
        <v>12</v>
      </c>
      <c r="N4" s="291"/>
      <c r="O4" s="290" t="s">
        <v>20</v>
      </c>
      <c r="P4" s="290" t="s">
        <v>0</v>
      </c>
      <c r="Q4" s="163" t="s">
        <v>13</v>
      </c>
      <c r="R4" s="291" t="s">
        <v>21</v>
      </c>
      <c r="S4" s="23" t="s">
        <v>17</v>
      </c>
      <c r="T4" s="25" t="s">
        <v>18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5.75">
      <c r="A5" s="111"/>
      <c r="B5" s="171"/>
      <c r="C5" s="185"/>
      <c r="D5" s="185"/>
      <c r="E5" s="284"/>
      <c r="F5" s="284"/>
      <c r="G5" s="284"/>
      <c r="H5" s="284"/>
      <c r="I5" s="286"/>
      <c r="J5" s="284"/>
      <c r="K5" s="284"/>
      <c r="L5" s="284"/>
      <c r="M5" s="284"/>
      <c r="N5" s="292"/>
      <c r="O5" s="292"/>
      <c r="P5" s="171"/>
      <c r="Q5" s="284"/>
      <c r="R5" s="292"/>
      <c r="S5" s="26">
        <f aca="true" t="shared" si="0" ref="S5:S11">MAX(E5,G5,I5,K5,M5)</f>
        <v>0</v>
      </c>
      <c r="T5" s="26">
        <f aca="true" t="shared" si="1" ref="T5:T11">MIN(E5,G5,I5,K5,M5)</f>
        <v>0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15.75">
      <c r="A6" s="111"/>
      <c r="B6" s="186"/>
      <c r="C6" s="187"/>
      <c r="D6" s="187"/>
      <c r="E6" s="284"/>
      <c r="F6" s="284"/>
      <c r="G6" s="284"/>
      <c r="H6" s="284"/>
      <c r="I6" s="286"/>
      <c r="J6" s="284"/>
      <c r="K6" s="284"/>
      <c r="L6" s="284"/>
      <c r="M6" s="284"/>
      <c r="N6" s="284"/>
      <c r="O6" s="292"/>
      <c r="P6" s="186"/>
      <c r="Q6" s="284"/>
      <c r="R6" s="292"/>
      <c r="S6" s="26">
        <f t="shared" si="0"/>
        <v>0</v>
      </c>
      <c r="T6" s="26">
        <f t="shared" si="1"/>
        <v>0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5.75">
      <c r="A7" s="111"/>
      <c r="B7" s="186"/>
      <c r="C7" s="187"/>
      <c r="D7" s="187"/>
      <c r="E7" s="284"/>
      <c r="F7" s="284"/>
      <c r="G7" s="284"/>
      <c r="H7" s="284"/>
      <c r="I7" s="286"/>
      <c r="J7" s="284"/>
      <c r="K7" s="284"/>
      <c r="L7" s="284"/>
      <c r="M7" s="284"/>
      <c r="N7" s="284"/>
      <c r="O7" s="292"/>
      <c r="P7" s="186"/>
      <c r="Q7" s="284"/>
      <c r="R7" s="292"/>
      <c r="S7" s="26">
        <f t="shared" si="0"/>
        <v>0</v>
      </c>
      <c r="T7" s="26">
        <f t="shared" si="1"/>
        <v>0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5.75">
      <c r="A8" s="111"/>
      <c r="B8" s="186"/>
      <c r="C8" s="187"/>
      <c r="D8" s="187"/>
      <c r="E8" s="284"/>
      <c r="F8" s="284"/>
      <c r="G8" s="284"/>
      <c r="H8" s="284"/>
      <c r="I8" s="286"/>
      <c r="J8" s="284"/>
      <c r="K8" s="284"/>
      <c r="L8" s="284"/>
      <c r="M8" s="284"/>
      <c r="N8" s="284"/>
      <c r="O8" s="292"/>
      <c r="P8" s="186"/>
      <c r="Q8" s="284"/>
      <c r="R8" s="292"/>
      <c r="S8" s="26">
        <f t="shared" si="0"/>
        <v>0</v>
      </c>
      <c r="T8" s="26">
        <f t="shared" si="1"/>
        <v>0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5.75">
      <c r="A9" s="111"/>
      <c r="B9" s="186"/>
      <c r="C9" s="187"/>
      <c r="D9" s="187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92"/>
      <c r="P9" s="186"/>
      <c r="Q9" s="284"/>
      <c r="R9" s="292"/>
      <c r="S9" s="26">
        <f t="shared" si="0"/>
        <v>0</v>
      </c>
      <c r="T9" s="26">
        <f t="shared" si="1"/>
        <v>0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5.75">
      <c r="A10" s="111"/>
      <c r="B10" s="186"/>
      <c r="C10" s="187"/>
      <c r="D10" s="187"/>
      <c r="E10" s="284"/>
      <c r="F10" s="284"/>
      <c r="G10" s="284"/>
      <c r="H10" s="284"/>
      <c r="I10" s="286"/>
      <c r="J10" s="284"/>
      <c r="K10" s="284"/>
      <c r="L10" s="284"/>
      <c r="M10" s="284"/>
      <c r="N10" s="284"/>
      <c r="O10" s="292"/>
      <c r="P10" s="186"/>
      <c r="Q10" s="284"/>
      <c r="R10" s="292"/>
      <c r="S10" s="26">
        <f t="shared" si="0"/>
        <v>0</v>
      </c>
      <c r="T10" s="26">
        <f t="shared" si="1"/>
        <v>0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ht="15.75">
      <c r="A11" s="111"/>
      <c r="B11" s="186"/>
      <c r="C11" s="187"/>
      <c r="D11" s="187"/>
      <c r="E11" s="284"/>
      <c r="F11" s="284"/>
      <c r="G11" s="284"/>
      <c r="H11" s="284"/>
      <c r="I11" s="286"/>
      <c r="J11" s="284"/>
      <c r="K11" s="284"/>
      <c r="L11" s="284"/>
      <c r="M11" s="284"/>
      <c r="N11" s="284"/>
      <c r="O11" s="292"/>
      <c r="P11" s="186"/>
      <c r="Q11" s="284"/>
      <c r="R11" s="292"/>
      <c r="S11" s="26">
        <f t="shared" si="0"/>
        <v>0</v>
      </c>
      <c r="T11" s="26">
        <f t="shared" si="1"/>
        <v>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ht="15.75" customHeight="1">
      <c r="A12" s="111"/>
      <c r="B12" s="186"/>
      <c r="C12" s="187"/>
      <c r="D12" s="187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92"/>
      <c r="P12" s="186"/>
      <c r="Q12" s="284"/>
      <c r="R12" s="292"/>
      <c r="S12" s="26">
        <f aca="true" t="shared" si="2" ref="S12:S17">MAX(E12,G12,I12,K12,M12)</f>
        <v>0</v>
      </c>
      <c r="T12" s="26">
        <f aca="true" t="shared" si="3" ref="T12:T17">MIN(E12,G12,I12,K12,M12)</f>
        <v>0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ht="15.75" customHeight="1">
      <c r="A13" s="111"/>
      <c r="B13" s="186"/>
      <c r="C13" s="187"/>
      <c r="D13" s="187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92"/>
      <c r="P13" s="186"/>
      <c r="Q13" s="284"/>
      <c r="R13" s="292"/>
      <c r="S13" s="26">
        <f t="shared" si="2"/>
        <v>0</v>
      </c>
      <c r="T13" s="26">
        <f t="shared" si="3"/>
        <v>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ht="15.75" customHeight="1">
      <c r="A14" s="111"/>
      <c r="B14" s="186"/>
      <c r="C14" s="187"/>
      <c r="D14" s="187"/>
      <c r="E14" s="284"/>
      <c r="F14" s="284"/>
      <c r="G14" s="284"/>
      <c r="H14" s="284"/>
      <c r="I14" s="286"/>
      <c r="J14" s="284"/>
      <c r="K14" s="284"/>
      <c r="L14" s="284"/>
      <c r="M14" s="284"/>
      <c r="N14" s="284"/>
      <c r="O14" s="292"/>
      <c r="P14" s="186"/>
      <c r="Q14" s="284"/>
      <c r="R14" s="292"/>
      <c r="S14" s="26">
        <f t="shared" si="2"/>
        <v>0</v>
      </c>
      <c r="T14" s="26">
        <f t="shared" si="3"/>
        <v>0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15.75" customHeight="1">
      <c r="A15" s="111"/>
      <c r="B15" s="186"/>
      <c r="C15" s="187"/>
      <c r="D15" s="187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92"/>
      <c r="P15" s="186"/>
      <c r="Q15" s="284"/>
      <c r="R15" s="292"/>
      <c r="S15" s="26">
        <f t="shared" si="2"/>
        <v>0</v>
      </c>
      <c r="T15" s="26">
        <f t="shared" si="3"/>
        <v>0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ht="15.75" customHeight="1">
      <c r="A16" s="111"/>
      <c r="B16" s="186"/>
      <c r="C16" s="187"/>
      <c r="D16" s="187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92"/>
      <c r="P16" s="186"/>
      <c r="Q16" s="284"/>
      <c r="R16" s="292"/>
      <c r="S16" s="26">
        <f t="shared" si="2"/>
        <v>0</v>
      </c>
      <c r="T16" s="26">
        <f t="shared" si="3"/>
        <v>0</v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15.75" customHeight="1">
      <c r="A17" s="111"/>
      <c r="B17" s="186"/>
      <c r="C17" s="187"/>
      <c r="D17" s="187"/>
      <c r="E17" s="292"/>
      <c r="F17" s="292"/>
      <c r="G17" s="292"/>
      <c r="H17" s="292"/>
      <c r="I17" s="293"/>
      <c r="J17" s="292"/>
      <c r="K17" s="292"/>
      <c r="L17" s="292"/>
      <c r="M17" s="292"/>
      <c r="N17" s="284"/>
      <c r="O17" s="292"/>
      <c r="P17" s="186"/>
      <c r="Q17" s="292"/>
      <c r="R17" s="292"/>
      <c r="S17" s="26">
        <f t="shared" si="2"/>
        <v>0</v>
      </c>
      <c r="T17" s="26">
        <f t="shared" si="3"/>
        <v>0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15.75" customHeight="1">
      <c r="A18" s="111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92"/>
      <c r="P18" s="171"/>
      <c r="Q18" s="292"/>
      <c r="R18" s="292"/>
      <c r="S18" s="26">
        <f aca="true" t="shared" si="4" ref="S18:S33">IF(B18="","",MAX(E18,G18,I18,K18,M18))</f>
      </c>
      <c r="T18" s="26">
        <f aca="true" t="shared" si="5" ref="T18:T33">IF(B18="","",MIN(E18,G18,I18,K18,M18))</f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15.75" customHeight="1">
      <c r="A19" s="111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92"/>
      <c r="P19" s="171"/>
      <c r="Q19" s="292"/>
      <c r="R19" s="292"/>
      <c r="S19" s="26">
        <f t="shared" si="4"/>
      </c>
      <c r="T19" s="26">
        <f t="shared" si="5"/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15.75" customHeight="1">
      <c r="A20" s="111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92"/>
      <c r="P20" s="171"/>
      <c r="Q20" s="292"/>
      <c r="R20" s="292"/>
      <c r="S20" s="26">
        <f t="shared" si="4"/>
      </c>
      <c r="T20" s="26">
        <f t="shared" si="5"/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15.75" customHeight="1">
      <c r="A21" s="111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92"/>
      <c r="P21" s="171"/>
      <c r="Q21" s="292"/>
      <c r="R21" s="292"/>
      <c r="S21" s="26">
        <f t="shared" si="4"/>
      </c>
      <c r="T21" s="26">
        <f t="shared" si="5"/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15.75" customHeight="1">
      <c r="A22" s="111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92"/>
      <c r="P22" s="171"/>
      <c r="Q22" s="292"/>
      <c r="R22" s="292"/>
      <c r="S22" s="26">
        <f t="shared" si="4"/>
      </c>
      <c r="T22" s="26">
        <f t="shared" si="5"/>
      </c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ht="15.75" customHeight="1">
      <c r="A23" s="111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92"/>
      <c r="P23" s="171"/>
      <c r="Q23" s="292"/>
      <c r="R23" s="292"/>
      <c r="S23" s="26">
        <f t="shared" si="4"/>
      </c>
      <c r="T23" s="26">
        <f t="shared" si="5"/>
      </c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15.75" customHeight="1">
      <c r="A24" s="111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92"/>
      <c r="P24" s="171"/>
      <c r="Q24" s="292"/>
      <c r="R24" s="292"/>
      <c r="S24" s="26">
        <f t="shared" si="4"/>
      </c>
      <c r="T24" s="26">
        <f t="shared" si="5"/>
      </c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15.75" customHeight="1">
      <c r="A25" s="111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92"/>
      <c r="P25" s="171"/>
      <c r="Q25" s="292"/>
      <c r="R25" s="292"/>
      <c r="S25" s="26">
        <f t="shared" si="4"/>
      </c>
      <c r="T25" s="26">
        <f t="shared" si="5"/>
      </c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5.75" customHeight="1">
      <c r="A26" s="111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92"/>
      <c r="P26" s="171"/>
      <c r="Q26" s="292"/>
      <c r="R26" s="292"/>
      <c r="S26" s="26">
        <f t="shared" si="4"/>
      </c>
      <c r="T26" s="26">
        <f t="shared" si="5"/>
      </c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5.75" customHeight="1">
      <c r="A27" s="111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92"/>
      <c r="P27" s="171"/>
      <c r="Q27" s="292"/>
      <c r="R27" s="292"/>
      <c r="S27" s="26">
        <f t="shared" si="4"/>
      </c>
      <c r="T27" s="26">
        <f t="shared" si="5"/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15.75" customHeight="1">
      <c r="A28" s="111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92"/>
      <c r="P28" s="171"/>
      <c r="Q28" s="292"/>
      <c r="R28" s="292"/>
      <c r="S28" s="26">
        <f t="shared" si="4"/>
      </c>
      <c r="T28" s="26">
        <f t="shared" si="5"/>
      </c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15.75" customHeight="1">
      <c r="A29" s="111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92"/>
      <c r="P29" s="171"/>
      <c r="Q29" s="292"/>
      <c r="R29" s="292"/>
      <c r="S29" s="26">
        <f t="shared" si="4"/>
      </c>
      <c r="T29" s="26">
        <f t="shared" si="5"/>
      </c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15.75" customHeight="1">
      <c r="A30" s="111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92"/>
      <c r="P30" s="171"/>
      <c r="Q30" s="292"/>
      <c r="R30" s="292"/>
      <c r="S30" s="26">
        <f t="shared" si="4"/>
      </c>
      <c r="T30" s="26">
        <f t="shared" si="5"/>
      </c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ht="15.75" customHeight="1">
      <c r="A31" s="111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92"/>
      <c r="P31" s="171"/>
      <c r="Q31" s="292"/>
      <c r="R31" s="292"/>
      <c r="S31" s="26">
        <f t="shared" si="4"/>
      </c>
      <c r="T31" s="26">
        <f t="shared" si="5"/>
      </c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ht="15.75" customHeight="1">
      <c r="A32" s="111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92"/>
      <c r="P32" s="171"/>
      <c r="Q32" s="292"/>
      <c r="R32" s="292"/>
      <c r="S32" s="26">
        <f t="shared" si="4"/>
      </c>
      <c r="T32" s="26">
        <f t="shared" si="5"/>
      </c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15.75" customHeight="1">
      <c r="A33" s="111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92"/>
      <c r="P33" s="171"/>
      <c r="Q33" s="292"/>
      <c r="R33" s="292"/>
      <c r="S33" s="26">
        <f t="shared" si="4"/>
      </c>
      <c r="T33" s="26">
        <f t="shared" si="5"/>
      </c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13.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22"/>
      <c r="T34" s="122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22" ht="15.75" customHeight="1" hidden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22"/>
      <c r="T35" s="122"/>
      <c r="U35" s="111"/>
      <c r="V35" s="134"/>
    </row>
    <row r="36" spans="1:22" ht="1.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22"/>
      <c r="T36" s="122"/>
      <c r="U36" s="111"/>
      <c r="V36" s="134"/>
    </row>
    <row r="37" spans="1:31" ht="9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</row>
    <row r="38" spans="1:31" ht="4.5" customHeight="1" thickBo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</row>
    <row r="39" spans="1:31" ht="13.5" thickBot="1">
      <c r="A39" s="111"/>
      <c r="B39" s="235" t="s">
        <v>88</v>
      </c>
      <c r="C39" s="112"/>
      <c r="D39" s="112"/>
      <c r="E39" s="236">
        <f>IF(COUNTIF(E5:E33,"&gt;40"),"Hiba","")</f>
      </c>
      <c r="F39" s="236">
        <f aca="true" t="shared" si="6" ref="F39:M39">IF(COUNTIF(F5:F33,"&gt;40"),"Hiba","")</f>
      </c>
      <c r="G39" s="236">
        <f t="shared" si="6"/>
      </c>
      <c r="H39" s="236">
        <f t="shared" si="6"/>
      </c>
      <c r="I39" s="236">
        <f t="shared" si="6"/>
      </c>
      <c r="J39" s="236">
        <f t="shared" si="6"/>
      </c>
      <c r="K39" s="236">
        <f t="shared" si="6"/>
      </c>
      <c r="L39" s="236">
        <f t="shared" si="6"/>
      </c>
      <c r="M39" s="236">
        <f t="shared" si="6"/>
      </c>
      <c r="N39" s="112"/>
      <c r="O39" s="112"/>
      <c r="P39" s="112"/>
      <c r="Q39" s="112"/>
      <c r="R39" s="112"/>
      <c r="S39" s="112"/>
      <c r="T39" s="112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</row>
    <row r="40" spans="1:31" ht="13.5" thickBo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</row>
    <row r="41" spans="1:31" ht="13.5" thickBot="1">
      <c r="A41" s="111"/>
      <c r="B41" s="235" t="s">
        <v>88</v>
      </c>
      <c r="C41" s="112"/>
      <c r="D41" s="112"/>
      <c r="E41" s="236">
        <f>IF(Kd_sors!F2=COUNT(E5:E33),"","!!!!")</f>
      </c>
      <c r="F41" s="236" t="str">
        <f>IF(Rajtlista!G2=COUNT(F5:F33),"","!!!!")</f>
        <v>!!!!</v>
      </c>
      <c r="G41" s="236">
        <f>IF(Kd_sors!F2=COUNT(G5:G33),"","!!!!")</f>
      </c>
      <c r="H41" s="236">
        <f>IF(Rajtlista!I2=COUNT(H5:H33),"","!!!!")</f>
      </c>
      <c r="I41" s="236">
        <f>IF(Kd_sors!F2=COUNT(I5:I33),"","!!!!")</f>
      </c>
      <c r="J41" s="236">
        <f>IF(Rajtlista!K2=COUNT(J5:J33),"","!!!!")</f>
      </c>
      <c r="K41" s="236">
        <f>IF(Kd_sors!F2=COUNT(K5:K33),"","!!!!")</f>
      </c>
      <c r="L41" s="236">
        <f>IF(Rajtlista!M2=COUNT(L5:L33),"","!!!!")</f>
      </c>
      <c r="M41" s="236">
        <f>IF(Kd_sors!F2=COUNT(M5:M33),"","!!!!")</f>
      </c>
      <c r="N41" s="112"/>
      <c r="O41" s="112"/>
      <c r="P41" s="112"/>
      <c r="Q41" s="112"/>
      <c r="R41" s="112"/>
      <c r="S41" s="112"/>
      <c r="T41" s="112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</row>
    <row r="42" spans="1:31" ht="12.7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</row>
    <row r="43" spans="1:31" ht="12.7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</row>
    <row r="44" spans="1:31" ht="12.7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</row>
    <row r="45" spans="1:31" ht="12.7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</row>
    <row r="46" spans="1:31" ht="12.7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</row>
    <row r="47" spans="1:31" ht="12.7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</row>
    <row r="48" spans="1:31" ht="12.75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Z39"/>
  <sheetViews>
    <sheetView zoomScalePageLayoutView="0" workbookViewId="0" topLeftCell="A1">
      <selection activeCell="V22" sqref="V22"/>
    </sheetView>
  </sheetViews>
  <sheetFormatPr defaultColWidth="9.140625" defaultRowHeight="12.75"/>
  <cols>
    <col min="1" max="1" width="7.8515625" style="20" customWidth="1"/>
    <col min="2" max="2" width="4.7109375" style="20" customWidth="1"/>
    <col min="3" max="3" width="1.7109375" style="3" customWidth="1"/>
    <col min="4" max="4" width="4.7109375" style="20" customWidth="1"/>
    <col min="5" max="5" width="1.7109375" style="3" customWidth="1"/>
    <col min="6" max="6" width="4.7109375" style="20" customWidth="1"/>
    <col min="7" max="7" width="1.7109375" style="3" customWidth="1"/>
    <col min="8" max="8" width="4.7109375" style="20" customWidth="1"/>
    <col min="9" max="9" width="1.7109375" style="3" customWidth="1"/>
    <col min="10" max="10" width="4.7109375" style="20" customWidth="1"/>
    <col min="11" max="11" width="1.7109375" style="3" customWidth="1"/>
    <col min="12" max="12" width="5.57421875" style="24" customWidth="1"/>
    <col min="13" max="13" width="8.57421875" style="24" customWidth="1"/>
    <col min="14" max="14" width="4.8515625" style="20" hidden="1" customWidth="1"/>
    <col min="15" max="15" width="4.7109375" style="20" hidden="1" customWidth="1"/>
    <col min="16" max="16" width="8.28125" style="20" bestFit="1" customWidth="1"/>
    <col min="17" max="17" width="37.8515625" style="33" customWidth="1"/>
    <col min="18" max="18" width="24.57421875" style="31" customWidth="1"/>
    <col min="19" max="19" width="4.57421875" style="20" hidden="1" customWidth="1"/>
    <col min="20" max="20" width="19.00390625" style="20" customWidth="1"/>
    <col min="21" max="21" width="5.57421875" style="20" hidden="1" customWidth="1"/>
    <col min="22" max="16384" width="9.140625" style="20" customWidth="1"/>
  </cols>
  <sheetData>
    <row r="1" spans="1:26" ht="30" customHeight="1" thickBot="1">
      <c r="A1" s="142"/>
      <c r="B1" s="138"/>
      <c r="C1" s="159"/>
      <c r="D1" s="138"/>
      <c r="E1" s="159"/>
      <c r="F1" s="143"/>
      <c r="G1" s="159"/>
      <c r="H1" s="137" t="s">
        <v>69</v>
      </c>
      <c r="I1" s="159"/>
      <c r="J1" s="143"/>
      <c r="K1" s="159"/>
      <c r="L1" s="139"/>
      <c r="M1" s="139"/>
      <c r="N1" s="138"/>
      <c r="O1" s="138"/>
      <c r="P1" s="138"/>
      <c r="Q1" s="140"/>
      <c r="R1" s="141"/>
      <c r="T1" s="234" t="s">
        <v>88</v>
      </c>
      <c r="U1" s="111"/>
      <c r="V1" s="111"/>
      <c r="W1" s="111"/>
      <c r="X1" s="111"/>
      <c r="Y1" s="111"/>
      <c r="Z1" s="111"/>
    </row>
    <row r="2" spans="1:26" ht="19.5" customHeight="1" thickBot="1">
      <c r="A2" s="209" t="s">
        <v>23</v>
      </c>
      <c r="B2" s="210"/>
      <c r="C2" s="159"/>
      <c r="D2" s="210" t="str">
        <f>Rajtlista!E1</f>
        <v>Boogie - Woogie</v>
      </c>
      <c r="E2" s="159"/>
      <c r="F2" s="210"/>
      <c r="G2" s="159"/>
      <c r="H2" s="211"/>
      <c r="I2" s="206"/>
      <c r="J2" s="209" t="s">
        <v>14</v>
      </c>
      <c r="K2" s="159"/>
      <c r="L2" s="212"/>
      <c r="M2" s="213"/>
      <c r="N2" s="150"/>
      <c r="O2" s="134"/>
      <c r="P2" s="214">
        <v>0</v>
      </c>
      <c r="Q2" s="227"/>
      <c r="R2" s="228"/>
      <c r="S2" s="134">
        <f>Dont_sors!F2</f>
        <v>5</v>
      </c>
      <c r="T2" s="111"/>
      <c r="U2" s="111"/>
      <c r="V2" s="111"/>
      <c r="W2" s="111"/>
      <c r="X2" s="111"/>
      <c r="Y2" s="111"/>
      <c r="Z2" s="111"/>
    </row>
    <row r="3" spans="1:26" ht="16.5" thickBot="1">
      <c r="A3" s="111"/>
      <c r="B3" s="111"/>
      <c r="C3" s="206"/>
      <c r="D3" s="111"/>
      <c r="E3" s="206"/>
      <c r="F3" s="111"/>
      <c r="G3" s="206"/>
      <c r="H3" s="111"/>
      <c r="I3" s="206"/>
      <c r="J3" s="111"/>
      <c r="K3" s="206"/>
      <c r="L3" s="112"/>
      <c r="M3" s="112"/>
      <c r="N3" s="111"/>
      <c r="O3" s="111"/>
      <c r="P3" s="111"/>
      <c r="Q3" s="227"/>
      <c r="R3" s="228"/>
      <c r="S3" s="134"/>
      <c r="T3" s="111"/>
      <c r="U3" s="111"/>
      <c r="V3" s="111"/>
      <c r="W3" s="111"/>
      <c r="X3" s="111"/>
      <c r="Y3" s="111"/>
      <c r="Z3" s="111"/>
    </row>
    <row r="4" spans="1:26" ht="16.5" thickBot="1">
      <c r="A4" s="269" t="s">
        <v>0</v>
      </c>
      <c r="B4" s="270" t="s">
        <v>8</v>
      </c>
      <c r="C4" s="271"/>
      <c r="D4" s="270" t="s">
        <v>9</v>
      </c>
      <c r="E4" s="271"/>
      <c r="F4" s="269" t="s">
        <v>10</v>
      </c>
      <c r="G4" s="272"/>
      <c r="H4" s="273" t="s">
        <v>11</v>
      </c>
      <c r="I4" s="272"/>
      <c r="J4" s="273" t="s">
        <v>12</v>
      </c>
      <c r="K4" s="272"/>
      <c r="L4" s="274" t="s">
        <v>19</v>
      </c>
      <c r="M4" s="270" t="s">
        <v>24</v>
      </c>
      <c r="N4" s="275" t="s">
        <v>17</v>
      </c>
      <c r="O4" s="276" t="s">
        <v>18</v>
      </c>
      <c r="P4" s="269" t="s">
        <v>0</v>
      </c>
      <c r="Q4" s="272" t="s">
        <v>1</v>
      </c>
      <c r="R4" s="270" t="s">
        <v>2</v>
      </c>
      <c r="T4" s="111"/>
      <c r="U4" s="111" t="s">
        <v>87</v>
      </c>
      <c r="V4" s="111"/>
      <c r="W4" s="111"/>
      <c r="X4" s="111"/>
      <c r="Y4" s="111"/>
      <c r="Z4" s="111"/>
    </row>
    <row r="5" spans="1:26" ht="15.7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279"/>
      <c r="P5" s="280"/>
      <c r="Q5" s="281"/>
      <c r="R5" s="282"/>
      <c r="T5" s="216">
        <f aca="true" t="shared" si="0" ref="T5:T11">IF(M5&lt;&gt;"",(IF(OR(M5=M4,M5=M6,M5=M7),"Azonos pont !","")),"")</f>
      </c>
      <c r="U5" s="111">
        <f aca="true" t="shared" si="1" ref="U5:U15">SUM(B5,D5,F5,H5,J5)</f>
        <v>0</v>
      </c>
      <c r="V5" s="111"/>
      <c r="W5" s="111"/>
      <c r="X5" s="111"/>
      <c r="Y5" s="111"/>
      <c r="Z5" s="111"/>
    </row>
    <row r="6" spans="1:26" ht="15.75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186"/>
      <c r="Q6" s="187"/>
      <c r="R6" s="188"/>
      <c r="T6" s="216">
        <f t="shared" si="0"/>
      </c>
      <c r="U6" s="111">
        <f t="shared" si="1"/>
        <v>0</v>
      </c>
      <c r="V6" s="111"/>
      <c r="W6" s="111"/>
      <c r="X6" s="111"/>
      <c r="Y6" s="111"/>
      <c r="Z6" s="111"/>
    </row>
    <row r="7" spans="1:26" ht="15.75">
      <c r="A7" s="186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/>
      <c r="O7" s="285"/>
      <c r="P7" s="186"/>
      <c r="Q7" s="187"/>
      <c r="R7" s="187"/>
      <c r="T7" s="216">
        <f t="shared" si="0"/>
      </c>
      <c r="U7" s="111">
        <f t="shared" si="1"/>
        <v>0</v>
      </c>
      <c r="V7" s="111"/>
      <c r="W7" s="111"/>
      <c r="X7" s="111"/>
      <c r="Y7" s="111"/>
      <c r="Z7" s="111"/>
    </row>
    <row r="8" spans="1:26" ht="15.75">
      <c r="A8" s="186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5"/>
      <c r="O8" s="285"/>
      <c r="P8" s="186"/>
      <c r="Q8" s="187"/>
      <c r="R8" s="187"/>
      <c r="T8" s="216">
        <f t="shared" si="0"/>
      </c>
      <c r="U8" s="111">
        <f t="shared" si="1"/>
        <v>0</v>
      </c>
      <c r="V8" s="111"/>
      <c r="W8" s="111"/>
      <c r="X8" s="111"/>
      <c r="Y8" s="111"/>
      <c r="Z8" s="111"/>
    </row>
    <row r="9" spans="1:26" ht="15.75">
      <c r="A9" s="1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285"/>
      <c r="P9" s="186"/>
      <c r="Q9" s="187"/>
      <c r="R9" s="187"/>
      <c r="T9" s="216">
        <f t="shared" si="0"/>
      </c>
      <c r="U9" s="111">
        <f t="shared" si="1"/>
        <v>0</v>
      </c>
      <c r="V9" s="111"/>
      <c r="W9" s="111"/>
      <c r="X9" s="111"/>
      <c r="Y9" s="111"/>
      <c r="Z9" s="111"/>
    </row>
    <row r="10" spans="1:26" ht="15.75">
      <c r="A10" s="186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85"/>
      <c r="P10" s="186"/>
      <c r="Q10" s="187"/>
      <c r="R10" s="187"/>
      <c r="T10" s="216">
        <f t="shared" si="0"/>
      </c>
      <c r="U10" s="111">
        <f t="shared" si="1"/>
        <v>0</v>
      </c>
      <c r="V10" s="111"/>
      <c r="W10" s="111"/>
      <c r="X10" s="111"/>
      <c r="Y10" s="111"/>
      <c r="Z10" s="111"/>
    </row>
    <row r="11" spans="1:26" ht="15.75">
      <c r="A11" s="186"/>
      <c r="B11" s="284"/>
      <c r="C11" s="284"/>
      <c r="D11" s="284"/>
      <c r="E11" s="284"/>
      <c r="F11" s="286"/>
      <c r="G11" s="284"/>
      <c r="H11" s="284"/>
      <c r="I11" s="284"/>
      <c r="J11" s="284"/>
      <c r="K11" s="284"/>
      <c r="L11" s="284"/>
      <c r="M11" s="284"/>
      <c r="N11" s="285"/>
      <c r="O11" s="285"/>
      <c r="P11" s="186"/>
      <c r="Q11" s="187"/>
      <c r="R11" s="187"/>
      <c r="T11" s="216">
        <f t="shared" si="0"/>
      </c>
      <c r="U11" s="111">
        <f t="shared" si="1"/>
        <v>0</v>
      </c>
      <c r="V11" s="111"/>
      <c r="W11" s="111"/>
      <c r="X11" s="111"/>
      <c r="Y11" s="111"/>
      <c r="Z11" s="111"/>
    </row>
    <row r="12" spans="1:26" ht="15.75" customHeight="1">
      <c r="A12" s="186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5"/>
      <c r="O12" s="285"/>
      <c r="P12" s="186"/>
      <c r="Q12" s="187"/>
      <c r="R12" s="187"/>
      <c r="T12" s="216">
        <f aca="true" t="shared" si="2" ref="T12:T33">IF(M12&lt;&gt;"",(IF(OR(M12=M11,M12=M13,M12=M14),"Azonos pont !","")),"")</f>
      </c>
      <c r="U12" s="111">
        <f t="shared" si="1"/>
        <v>0</v>
      </c>
      <c r="V12" s="111"/>
      <c r="W12" s="111"/>
      <c r="X12" s="111"/>
      <c r="Y12" s="111"/>
      <c r="Z12" s="111"/>
    </row>
    <row r="13" spans="1:26" ht="15.75" customHeight="1">
      <c r="A13" s="186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5"/>
      <c r="O13" s="285"/>
      <c r="P13" s="186"/>
      <c r="Q13" s="187"/>
      <c r="R13" s="187"/>
      <c r="T13" s="216">
        <f t="shared" si="2"/>
      </c>
      <c r="U13" s="111">
        <f t="shared" si="1"/>
        <v>0</v>
      </c>
      <c r="V13" s="111"/>
      <c r="W13" s="111"/>
      <c r="X13" s="111"/>
      <c r="Y13" s="111"/>
      <c r="Z13" s="111"/>
    </row>
    <row r="14" spans="1:26" ht="15.75" customHeight="1">
      <c r="A14" s="186"/>
      <c r="B14" s="284"/>
      <c r="C14" s="284"/>
      <c r="D14" s="284"/>
      <c r="E14" s="284"/>
      <c r="F14" s="286"/>
      <c r="G14" s="284"/>
      <c r="H14" s="284"/>
      <c r="I14" s="284"/>
      <c r="J14" s="284"/>
      <c r="K14" s="284"/>
      <c r="L14" s="284"/>
      <c r="M14" s="284"/>
      <c r="N14" s="285"/>
      <c r="O14" s="285"/>
      <c r="P14" s="186"/>
      <c r="Q14" s="187"/>
      <c r="R14" s="187"/>
      <c r="T14" s="216">
        <f t="shared" si="2"/>
      </c>
      <c r="U14" s="111">
        <f t="shared" si="1"/>
        <v>0</v>
      </c>
      <c r="V14" s="111"/>
      <c r="W14" s="111"/>
      <c r="X14" s="111"/>
      <c r="Y14" s="111"/>
      <c r="Z14" s="111"/>
    </row>
    <row r="15" spans="1:26" ht="15.75" customHeight="1">
      <c r="A15" s="186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5"/>
      <c r="O15" s="285"/>
      <c r="P15" s="186"/>
      <c r="Q15" s="187"/>
      <c r="R15" s="187"/>
      <c r="T15" s="216">
        <f t="shared" si="2"/>
      </c>
      <c r="U15" s="111">
        <f t="shared" si="1"/>
        <v>0</v>
      </c>
      <c r="V15" s="111"/>
      <c r="W15" s="111"/>
      <c r="X15" s="111"/>
      <c r="Y15" s="111"/>
      <c r="Z15" s="111"/>
    </row>
    <row r="16" spans="1:26" ht="15.75" customHeight="1">
      <c r="A16" s="186"/>
      <c r="B16" s="284"/>
      <c r="C16" s="186"/>
      <c r="D16" s="284"/>
      <c r="E16" s="186"/>
      <c r="F16" s="284"/>
      <c r="G16" s="186"/>
      <c r="H16" s="284"/>
      <c r="I16" s="186"/>
      <c r="J16" s="284"/>
      <c r="K16" s="186"/>
      <c r="L16" s="284"/>
      <c r="M16" s="284"/>
      <c r="N16" s="285"/>
      <c r="O16" s="285"/>
      <c r="P16" s="186"/>
      <c r="Q16" s="187"/>
      <c r="R16" s="187"/>
      <c r="T16" s="216">
        <f t="shared" si="2"/>
      </c>
      <c r="U16" s="111">
        <f aca="true" t="shared" si="3" ref="U16:U33">SUM(B16,D16,F16,H16,J16)</f>
        <v>0</v>
      </c>
      <c r="V16" s="111"/>
      <c r="W16" s="111"/>
      <c r="X16" s="111"/>
      <c r="Y16" s="111"/>
      <c r="Z16" s="111"/>
    </row>
    <row r="17" spans="1:26" ht="15.75" customHeight="1">
      <c r="A17" s="186"/>
      <c r="B17" s="292"/>
      <c r="C17" s="171"/>
      <c r="D17" s="292"/>
      <c r="E17" s="171"/>
      <c r="F17" s="293"/>
      <c r="G17" s="171"/>
      <c r="H17" s="292"/>
      <c r="I17" s="171"/>
      <c r="J17" s="292"/>
      <c r="K17" s="186"/>
      <c r="L17" s="284"/>
      <c r="M17" s="284"/>
      <c r="N17" s="285"/>
      <c r="O17" s="285"/>
      <c r="P17" s="186"/>
      <c r="Q17" s="187"/>
      <c r="R17" s="187"/>
      <c r="T17" s="216">
        <f t="shared" si="2"/>
      </c>
      <c r="U17" s="111">
        <f t="shared" si="3"/>
        <v>0</v>
      </c>
      <c r="V17" s="111"/>
      <c r="W17" s="111"/>
      <c r="X17" s="111"/>
      <c r="Y17" s="111"/>
      <c r="Z17" s="111"/>
    </row>
    <row r="18" spans="1:26" ht="15.75" customHeight="1">
      <c r="A18" s="285"/>
      <c r="B18" s="285"/>
      <c r="C18" s="187"/>
      <c r="D18" s="285"/>
      <c r="E18" s="187"/>
      <c r="F18" s="285"/>
      <c r="G18" s="187"/>
      <c r="H18" s="285"/>
      <c r="I18" s="187"/>
      <c r="J18" s="285"/>
      <c r="K18" s="187"/>
      <c r="L18" s="284"/>
      <c r="M18" s="284"/>
      <c r="N18" s="285"/>
      <c r="O18" s="285"/>
      <c r="P18" s="285"/>
      <c r="Q18" s="287"/>
      <c r="R18" s="288"/>
      <c r="T18" s="216">
        <f t="shared" si="2"/>
      </c>
      <c r="U18" s="111">
        <f t="shared" si="3"/>
        <v>0</v>
      </c>
      <c r="V18" s="111"/>
      <c r="W18" s="111"/>
      <c r="X18" s="111"/>
      <c r="Y18" s="111"/>
      <c r="Z18" s="111"/>
    </row>
    <row r="19" spans="1:26" ht="15.75" customHeight="1">
      <c r="A19" s="285"/>
      <c r="B19" s="285"/>
      <c r="C19" s="187"/>
      <c r="D19" s="285"/>
      <c r="E19" s="187"/>
      <c r="F19" s="285"/>
      <c r="G19" s="187"/>
      <c r="H19" s="285"/>
      <c r="I19" s="187"/>
      <c r="J19" s="285"/>
      <c r="K19" s="187"/>
      <c r="L19" s="284"/>
      <c r="M19" s="284"/>
      <c r="N19" s="285"/>
      <c r="O19" s="285"/>
      <c r="P19" s="285"/>
      <c r="Q19" s="287"/>
      <c r="R19" s="288"/>
      <c r="T19" s="216">
        <f t="shared" si="2"/>
      </c>
      <c r="U19" s="111">
        <f t="shared" si="3"/>
        <v>0</v>
      </c>
      <c r="V19" s="111"/>
      <c r="W19" s="111"/>
      <c r="X19" s="111"/>
      <c r="Y19" s="111"/>
      <c r="Z19" s="111"/>
    </row>
    <row r="20" spans="1:26" ht="15.75" customHeight="1">
      <c r="A20" s="285"/>
      <c r="B20" s="285"/>
      <c r="C20" s="187"/>
      <c r="D20" s="285"/>
      <c r="E20" s="187"/>
      <c r="F20" s="285"/>
      <c r="G20" s="187"/>
      <c r="H20" s="285"/>
      <c r="I20" s="187"/>
      <c r="J20" s="285"/>
      <c r="K20" s="187"/>
      <c r="L20" s="284"/>
      <c r="M20" s="284"/>
      <c r="N20" s="285"/>
      <c r="O20" s="285"/>
      <c r="P20" s="285"/>
      <c r="Q20" s="287"/>
      <c r="R20" s="288"/>
      <c r="T20" s="216">
        <f t="shared" si="2"/>
      </c>
      <c r="U20" s="111">
        <f t="shared" si="3"/>
        <v>0</v>
      </c>
      <c r="V20" s="111"/>
      <c r="W20" s="111"/>
      <c r="X20" s="111"/>
      <c r="Y20" s="111"/>
      <c r="Z20" s="111"/>
    </row>
    <row r="21" spans="1:26" ht="15.75" customHeight="1">
      <c r="A21" s="285"/>
      <c r="B21" s="285"/>
      <c r="C21" s="187"/>
      <c r="D21" s="285"/>
      <c r="E21" s="187"/>
      <c r="F21" s="285"/>
      <c r="G21" s="187"/>
      <c r="H21" s="285"/>
      <c r="I21" s="187"/>
      <c r="J21" s="285"/>
      <c r="K21" s="187"/>
      <c r="L21" s="284"/>
      <c r="M21" s="284"/>
      <c r="N21" s="285"/>
      <c r="O21" s="285"/>
      <c r="P21" s="285"/>
      <c r="Q21" s="287"/>
      <c r="R21" s="288"/>
      <c r="T21" s="216">
        <f t="shared" si="2"/>
      </c>
      <c r="U21" s="111">
        <f t="shared" si="3"/>
        <v>0</v>
      </c>
      <c r="V21" s="111"/>
      <c r="W21" s="111"/>
      <c r="X21" s="111"/>
      <c r="Y21" s="111"/>
      <c r="Z21" s="111"/>
    </row>
    <row r="22" spans="1:26" ht="15.75" customHeight="1">
      <c r="A22" s="285"/>
      <c r="B22" s="285"/>
      <c r="C22" s="187"/>
      <c r="D22" s="285"/>
      <c r="E22" s="187"/>
      <c r="F22" s="285"/>
      <c r="G22" s="187"/>
      <c r="H22" s="285"/>
      <c r="I22" s="187"/>
      <c r="J22" s="285"/>
      <c r="K22" s="187"/>
      <c r="L22" s="284"/>
      <c r="M22" s="284"/>
      <c r="N22" s="285"/>
      <c r="O22" s="285"/>
      <c r="P22" s="285"/>
      <c r="Q22" s="287"/>
      <c r="R22" s="288"/>
      <c r="T22" s="216">
        <f t="shared" si="2"/>
      </c>
      <c r="U22" s="111">
        <f t="shared" si="3"/>
        <v>0</v>
      </c>
      <c r="V22" s="111"/>
      <c r="W22" s="111"/>
      <c r="X22" s="111"/>
      <c r="Y22" s="111"/>
      <c r="Z22" s="111"/>
    </row>
    <row r="23" spans="1:26" ht="15.75" customHeight="1">
      <c r="A23" s="285"/>
      <c r="B23" s="285"/>
      <c r="C23" s="187"/>
      <c r="D23" s="285"/>
      <c r="E23" s="187"/>
      <c r="F23" s="285"/>
      <c r="G23" s="187"/>
      <c r="H23" s="285"/>
      <c r="I23" s="187"/>
      <c r="J23" s="285"/>
      <c r="K23" s="187"/>
      <c r="L23" s="284"/>
      <c r="M23" s="284"/>
      <c r="N23" s="285"/>
      <c r="O23" s="285"/>
      <c r="P23" s="285"/>
      <c r="Q23" s="287"/>
      <c r="R23" s="288"/>
      <c r="T23" s="216">
        <f t="shared" si="2"/>
      </c>
      <c r="U23" s="111">
        <f t="shared" si="3"/>
        <v>0</v>
      </c>
      <c r="V23" s="111"/>
      <c r="W23" s="111"/>
      <c r="X23" s="111"/>
      <c r="Y23" s="111"/>
      <c r="Z23" s="111"/>
    </row>
    <row r="24" spans="1:26" ht="15.75" customHeight="1">
      <c r="A24" s="285"/>
      <c r="B24" s="285"/>
      <c r="C24" s="187"/>
      <c r="D24" s="285"/>
      <c r="E24" s="187"/>
      <c r="F24" s="285"/>
      <c r="G24" s="187"/>
      <c r="H24" s="285"/>
      <c r="I24" s="187"/>
      <c r="J24" s="285"/>
      <c r="K24" s="187"/>
      <c r="L24" s="284"/>
      <c r="M24" s="284"/>
      <c r="N24" s="285"/>
      <c r="O24" s="285"/>
      <c r="P24" s="285"/>
      <c r="Q24" s="287"/>
      <c r="R24" s="288"/>
      <c r="T24" s="216">
        <f t="shared" si="2"/>
      </c>
      <c r="U24" s="111">
        <f t="shared" si="3"/>
        <v>0</v>
      </c>
      <c r="V24" s="111"/>
      <c r="W24" s="111"/>
      <c r="X24" s="111"/>
      <c r="Y24" s="111"/>
      <c r="Z24" s="111"/>
    </row>
    <row r="25" spans="1:26" ht="15.75" customHeight="1">
      <c r="A25" s="285"/>
      <c r="B25" s="285"/>
      <c r="C25" s="187"/>
      <c r="D25" s="285"/>
      <c r="E25" s="187"/>
      <c r="F25" s="285"/>
      <c r="G25" s="187"/>
      <c r="H25" s="285"/>
      <c r="I25" s="187"/>
      <c r="J25" s="285"/>
      <c r="K25" s="187"/>
      <c r="L25" s="284"/>
      <c r="M25" s="284"/>
      <c r="N25" s="285"/>
      <c r="O25" s="285"/>
      <c r="P25" s="285"/>
      <c r="Q25" s="287"/>
      <c r="R25" s="288"/>
      <c r="T25" s="216">
        <f t="shared" si="2"/>
      </c>
      <c r="U25" s="111">
        <f t="shared" si="3"/>
        <v>0</v>
      </c>
      <c r="V25" s="111"/>
      <c r="W25" s="111"/>
      <c r="X25" s="111"/>
      <c r="Y25" s="111"/>
      <c r="Z25" s="111"/>
    </row>
    <row r="26" spans="1:26" ht="15.75" customHeight="1">
      <c r="A26" s="285"/>
      <c r="B26" s="285"/>
      <c r="C26" s="187"/>
      <c r="D26" s="285"/>
      <c r="E26" s="187"/>
      <c r="F26" s="285"/>
      <c r="G26" s="187"/>
      <c r="H26" s="285"/>
      <c r="I26" s="187"/>
      <c r="J26" s="285"/>
      <c r="K26" s="187"/>
      <c r="L26" s="284"/>
      <c r="M26" s="284"/>
      <c r="N26" s="285"/>
      <c r="O26" s="285"/>
      <c r="P26" s="285"/>
      <c r="Q26" s="287"/>
      <c r="R26" s="288"/>
      <c r="T26" s="216">
        <f t="shared" si="2"/>
      </c>
      <c r="U26" s="111">
        <f t="shared" si="3"/>
        <v>0</v>
      </c>
      <c r="V26" s="111"/>
      <c r="W26" s="111"/>
      <c r="X26" s="111"/>
      <c r="Y26" s="111"/>
      <c r="Z26" s="111"/>
    </row>
    <row r="27" spans="1:26" ht="15.75" customHeight="1">
      <c r="A27" s="285"/>
      <c r="B27" s="285"/>
      <c r="C27" s="187"/>
      <c r="D27" s="285"/>
      <c r="E27" s="187"/>
      <c r="F27" s="285"/>
      <c r="G27" s="187"/>
      <c r="H27" s="285"/>
      <c r="I27" s="187"/>
      <c r="J27" s="285"/>
      <c r="K27" s="187"/>
      <c r="L27" s="284"/>
      <c r="M27" s="284"/>
      <c r="N27" s="285"/>
      <c r="O27" s="285"/>
      <c r="P27" s="285"/>
      <c r="Q27" s="287"/>
      <c r="R27" s="288"/>
      <c r="T27" s="216">
        <f t="shared" si="2"/>
      </c>
      <c r="U27" s="111">
        <f t="shared" si="3"/>
        <v>0</v>
      </c>
      <c r="V27" s="111"/>
      <c r="W27" s="111"/>
      <c r="X27" s="111"/>
      <c r="Y27" s="111"/>
      <c r="Z27" s="111"/>
    </row>
    <row r="28" spans="1:26" ht="15.75" customHeight="1">
      <c r="A28" s="285"/>
      <c r="B28" s="285"/>
      <c r="C28" s="187"/>
      <c r="D28" s="285"/>
      <c r="E28" s="187"/>
      <c r="F28" s="285"/>
      <c r="G28" s="187"/>
      <c r="H28" s="285"/>
      <c r="I28" s="187"/>
      <c r="J28" s="285"/>
      <c r="K28" s="187"/>
      <c r="L28" s="284"/>
      <c r="M28" s="284"/>
      <c r="N28" s="285"/>
      <c r="O28" s="285"/>
      <c r="P28" s="285"/>
      <c r="Q28" s="287"/>
      <c r="R28" s="288"/>
      <c r="T28" s="216">
        <f t="shared" si="2"/>
      </c>
      <c r="U28" s="111">
        <f t="shared" si="3"/>
        <v>0</v>
      </c>
      <c r="V28" s="111"/>
      <c r="W28" s="111"/>
      <c r="X28" s="111"/>
      <c r="Y28" s="111"/>
      <c r="Z28" s="111"/>
    </row>
    <row r="29" spans="1:26" ht="15.75" customHeight="1">
      <c r="A29" s="285"/>
      <c r="B29" s="285"/>
      <c r="C29" s="187"/>
      <c r="D29" s="285"/>
      <c r="E29" s="187"/>
      <c r="F29" s="285"/>
      <c r="G29" s="187"/>
      <c r="H29" s="285"/>
      <c r="I29" s="187"/>
      <c r="J29" s="285"/>
      <c r="K29" s="187"/>
      <c r="L29" s="284"/>
      <c r="M29" s="284"/>
      <c r="N29" s="285"/>
      <c r="O29" s="285"/>
      <c r="P29" s="285"/>
      <c r="Q29" s="287"/>
      <c r="R29" s="288"/>
      <c r="T29" s="216">
        <f t="shared" si="2"/>
      </c>
      <c r="U29" s="111">
        <f t="shared" si="3"/>
        <v>0</v>
      </c>
      <c r="V29" s="111"/>
      <c r="W29" s="111"/>
      <c r="X29" s="111"/>
      <c r="Y29" s="111"/>
      <c r="Z29" s="111"/>
    </row>
    <row r="30" spans="1:26" ht="15.75" customHeight="1">
      <c r="A30" s="285"/>
      <c r="B30" s="285"/>
      <c r="C30" s="187"/>
      <c r="D30" s="285"/>
      <c r="E30" s="187"/>
      <c r="F30" s="285"/>
      <c r="G30" s="187"/>
      <c r="H30" s="285"/>
      <c r="I30" s="187"/>
      <c r="J30" s="285"/>
      <c r="K30" s="187"/>
      <c r="L30" s="284"/>
      <c r="M30" s="284"/>
      <c r="N30" s="285"/>
      <c r="O30" s="285"/>
      <c r="P30" s="285"/>
      <c r="Q30" s="287"/>
      <c r="R30" s="288"/>
      <c r="T30" s="216">
        <f t="shared" si="2"/>
      </c>
      <c r="U30" s="111">
        <f t="shared" si="3"/>
        <v>0</v>
      </c>
      <c r="V30" s="111"/>
      <c r="W30" s="111"/>
      <c r="X30" s="111"/>
      <c r="Y30" s="111"/>
      <c r="Z30" s="111"/>
    </row>
    <row r="31" spans="1:26" ht="15.75" customHeight="1">
      <c r="A31" s="285"/>
      <c r="B31" s="285"/>
      <c r="C31" s="187"/>
      <c r="D31" s="285"/>
      <c r="E31" s="187"/>
      <c r="F31" s="285"/>
      <c r="G31" s="187"/>
      <c r="H31" s="285"/>
      <c r="I31" s="187"/>
      <c r="J31" s="285"/>
      <c r="K31" s="187"/>
      <c r="L31" s="284"/>
      <c r="M31" s="284"/>
      <c r="N31" s="285"/>
      <c r="O31" s="285"/>
      <c r="P31" s="285"/>
      <c r="Q31" s="287"/>
      <c r="R31" s="288"/>
      <c r="T31" s="216">
        <f t="shared" si="2"/>
      </c>
      <c r="U31" s="111">
        <f t="shared" si="3"/>
        <v>0</v>
      </c>
      <c r="V31" s="111"/>
      <c r="W31" s="111"/>
      <c r="X31" s="111"/>
      <c r="Y31" s="111"/>
      <c r="Z31" s="111"/>
    </row>
    <row r="32" spans="1:26" ht="15.75" customHeight="1">
      <c r="A32" s="285"/>
      <c r="B32" s="285"/>
      <c r="C32" s="187"/>
      <c r="D32" s="285"/>
      <c r="E32" s="187"/>
      <c r="F32" s="285"/>
      <c r="G32" s="187"/>
      <c r="H32" s="285"/>
      <c r="I32" s="187"/>
      <c r="J32" s="285"/>
      <c r="K32" s="187"/>
      <c r="L32" s="284"/>
      <c r="M32" s="284"/>
      <c r="N32" s="285"/>
      <c r="O32" s="285"/>
      <c r="P32" s="285"/>
      <c r="Q32" s="287"/>
      <c r="R32" s="288"/>
      <c r="T32" s="216">
        <f t="shared" si="2"/>
      </c>
      <c r="U32" s="111">
        <f t="shared" si="3"/>
        <v>0</v>
      </c>
      <c r="V32" s="111"/>
      <c r="W32" s="111"/>
      <c r="X32" s="111"/>
      <c r="Y32" s="111"/>
      <c r="Z32" s="111"/>
    </row>
    <row r="33" spans="1:26" ht="15.75" customHeight="1">
      <c r="A33" s="285"/>
      <c r="B33" s="285"/>
      <c r="C33" s="187"/>
      <c r="D33" s="285"/>
      <c r="E33" s="187"/>
      <c r="F33" s="285"/>
      <c r="G33" s="187"/>
      <c r="H33" s="285"/>
      <c r="I33" s="187"/>
      <c r="J33" s="285"/>
      <c r="K33" s="187"/>
      <c r="L33" s="284"/>
      <c r="M33" s="284"/>
      <c r="N33" s="285"/>
      <c r="O33" s="285"/>
      <c r="P33" s="285"/>
      <c r="Q33" s="287"/>
      <c r="R33" s="288"/>
      <c r="T33" s="216">
        <f t="shared" si="2"/>
      </c>
      <c r="U33" s="111">
        <f t="shared" si="3"/>
        <v>0</v>
      </c>
      <c r="V33" s="111"/>
      <c r="W33" s="111"/>
      <c r="X33" s="111"/>
      <c r="Y33" s="111"/>
      <c r="Z33" s="111"/>
    </row>
    <row r="34" spans="1:26" ht="15.75" customHeight="1">
      <c r="A34" s="111"/>
      <c r="B34" s="111"/>
      <c r="C34" s="206"/>
      <c r="D34" s="111"/>
      <c r="E34" s="206"/>
      <c r="F34" s="111"/>
      <c r="G34" s="206"/>
      <c r="H34" s="111"/>
      <c r="I34" s="206"/>
      <c r="J34" s="111"/>
      <c r="K34" s="206"/>
      <c r="L34" s="112"/>
      <c r="M34" s="112"/>
      <c r="N34" s="111"/>
      <c r="O34" s="111"/>
      <c r="P34" s="111"/>
      <c r="Q34" s="227"/>
      <c r="R34" s="228"/>
      <c r="S34" s="111"/>
      <c r="T34" s="111"/>
      <c r="U34" s="111"/>
      <c r="V34" s="111"/>
      <c r="W34" s="111"/>
      <c r="X34" s="111"/>
      <c r="Y34" s="111"/>
      <c r="Z34" s="111"/>
    </row>
    <row r="35" spans="1:26" ht="15.75" customHeight="1">
      <c r="A35" s="111"/>
      <c r="B35" s="111"/>
      <c r="C35" s="206"/>
      <c r="D35" s="111"/>
      <c r="E35" s="206"/>
      <c r="F35" s="111"/>
      <c r="G35" s="206"/>
      <c r="H35" s="111"/>
      <c r="I35" s="206"/>
      <c r="J35" s="111"/>
      <c r="K35" s="206"/>
      <c r="L35" s="112"/>
      <c r="M35" s="112"/>
      <c r="N35" s="111"/>
      <c r="O35" s="111"/>
      <c r="P35" s="111"/>
      <c r="Q35" s="227"/>
      <c r="R35" s="228"/>
      <c r="S35" s="111"/>
      <c r="T35" s="111"/>
      <c r="U35" s="111"/>
      <c r="V35" s="111"/>
      <c r="W35" s="111"/>
      <c r="X35" s="111"/>
      <c r="Y35" s="111"/>
      <c r="Z35" s="111"/>
    </row>
    <row r="36" spans="1:26" ht="15.75">
      <c r="A36" s="111"/>
      <c r="B36" s="111"/>
      <c r="C36" s="206"/>
      <c r="D36" s="111"/>
      <c r="E36" s="206"/>
      <c r="F36" s="111"/>
      <c r="G36" s="206"/>
      <c r="H36" s="111"/>
      <c r="I36" s="206"/>
      <c r="J36" s="111"/>
      <c r="K36" s="206"/>
      <c r="L36" s="112"/>
      <c r="M36" s="112"/>
      <c r="N36" s="111"/>
      <c r="O36" s="111"/>
      <c r="P36" s="111"/>
      <c r="Q36" s="227"/>
      <c r="R36" s="228"/>
      <c r="S36" s="111"/>
      <c r="T36" s="111"/>
      <c r="U36" s="111"/>
      <c r="V36" s="111"/>
      <c r="W36" s="111"/>
      <c r="X36" s="111"/>
      <c r="Y36" s="111"/>
      <c r="Z36" s="111"/>
    </row>
    <row r="37" spans="1:26" ht="15.75">
      <c r="A37" s="111"/>
      <c r="B37" s="111"/>
      <c r="C37" s="206"/>
      <c r="D37" s="111"/>
      <c r="E37" s="206"/>
      <c r="F37" s="111"/>
      <c r="G37" s="206"/>
      <c r="H37" s="111"/>
      <c r="I37" s="206"/>
      <c r="J37" s="111"/>
      <c r="K37" s="206"/>
      <c r="L37" s="112"/>
      <c r="M37" s="112"/>
      <c r="N37" s="111"/>
      <c r="O37" s="111"/>
      <c r="P37" s="111"/>
      <c r="Q37" s="227"/>
      <c r="R37" s="228"/>
      <c r="S37" s="111"/>
      <c r="T37" s="111"/>
      <c r="U37" s="111"/>
      <c r="V37" s="111"/>
      <c r="W37" s="111"/>
      <c r="X37" s="111"/>
      <c r="Y37" s="111"/>
      <c r="Z37" s="111"/>
    </row>
    <row r="38" spans="1:26" ht="15.75">
      <c r="A38" s="111"/>
      <c r="B38" s="111"/>
      <c r="C38" s="206"/>
      <c r="D38" s="111"/>
      <c r="E38" s="206"/>
      <c r="F38" s="111"/>
      <c r="G38" s="206"/>
      <c r="H38" s="111"/>
      <c r="I38" s="206"/>
      <c r="J38" s="111"/>
      <c r="K38" s="206"/>
      <c r="L38" s="112"/>
      <c r="M38" s="112"/>
      <c r="N38" s="111"/>
      <c r="O38" s="111"/>
      <c r="P38" s="111"/>
      <c r="Q38" s="227"/>
      <c r="R38" s="228"/>
      <c r="S38" s="111"/>
      <c r="T38" s="111"/>
      <c r="U38" s="111"/>
      <c r="V38" s="111"/>
      <c r="W38" s="111"/>
      <c r="X38" s="111"/>
      <c r="Y38" s="111"/>
      <c r="Z38" s="111"/>
    </row>
    <row r="39" spans="4:26" ht="15.75">
      <c r="D39" s="111"/>
      <c r="E39" s="206"/>
      <c r="F39" s="111"/>
      <c r="G39" s="206"/>
      <c r="H39" s="111"/>
      <c r="I39" s="206"/>
      <c r="J39" s="111"/>
      <c r="K39" s="206"/>
      <c r="L39" s="112"/>
      <c r="M39" s="112"/>
      <c r="N39" s="111"/>
      <c r="O39" s="111"/>
      <c r="P39" s="111"/>
      <c r="Q39" s="227"/>
      <c r="R39" s="228"/>
      <c r="S39" s="111"/>
      <c r="T39" s="111"/>
      <c r="U39" s="111"/>
      <c r="V39" s="111"/>
      <c r="W39" s="111"/>
      <c r="X39" s="111"/>
      <c r="Y39" s="111"/>
      <c r="Z39" s="111"/>
    </row>
  </sheetData>
  <sheetProtection/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V45"/>
  <sheetViews>
    <sheetView zoomScalePageLayoutView="0" workbookViewId="0" topLeftCell="A1">
      <selection activeCell="J28" sqref="J28"/>
    </sheetView>
  </sheetViews>
  <sheetFormatPr defaultColWidth="9.140625" defaultRowHeight="12.75"/>
  <cols>
    <col min="1" max="1" width="4.00390625" style="3" customWidth="1"/>
    <col min="2" max="2" width="0.2890625" style="1" customWidth="1"/>
    <col min="3" max="3" width="0.13671875" style="1" customWidth="1"/>
    <col min="4" max="4" width="10.57421875" style="14" customWidth="1"/>
    <col min="5" max="5" width="38.8515625" style="3" customWidth="1"/>
    <col min="6" max="6" width="24.421875" style="3" customWidth="1"/>
    <col min="7" max="7" width="4.140625" style="3" customWidth="1"/>
    <col min="8" max="8" width="9.140625" style="3" customWidth="1"/>
    <col min="9" max="9" width="9.140625" style="3" hidden="1" customWidth="1"/>
    <col min="10" max="10" width="9.140625" style="3" customWidth="1"/>
    <col min="11" max="11" width="9.140625" style="3" hidden="1" customWidth="1"/>
    <col min="12" max="12" width="0.13671875" style="3" hidden="1" customWidth="1"/>
    <col min="13" max="13" width="12.421875" style="3" hidden="1" customWidth="1"/>
    <col min="14" max="16384" width="9.140625" style="3" customWidth="1"/>
  </cols>
  <sheetData>
    <row r="1" spans="1:22" ht="18" customHeight="1" thickBot="1">
      <c r="A1" s="9" t="s">
        <v>3</v>
      </c>
      <c r="B1" s="15"/>
      <c r="C1" s="15"/>
      <c r="D1" s="10"/>
      <c r="E1" s="21" t="s">
        <v>7</v>
      </c>
      <c r="F1" s="4" t="s">
        <v>4</v>
      </c>
      <c r="G1" s="206"/>
      <c r="H1" s="242" t="s">
        <v>88</v>
      </c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</row>
    <row r="2" spans="1:22" ht="21" customHeight="1" thickBot="1">
      <c r="A2" s="191" t="s">
        <v>29</v>
      </c>
      <c r="B2" s="16"/>
      <c r="C2" s="16"/>
      <c r="D2" s="11"/>
      <c r="E2" s="7"/>
      <c r="F2" s="8">
        <f>COUNT(D4:D33)</f>
        <v>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16.5" thickBot="1">
      <c r="A3" s="5"/>
      <c r="D3" s="17" t="s">
        <v>0</v>
      </c>
      <c r="E3" s="18" t="s">
        <v>1</v>
      </c>
      <c r="F3" s="19" t="s">
        <v>2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22" ht="15.75">
      <c r="A4" s="187">
        <f>IF(D4&lt;&gt;"",1,"")</f>
      </c>
      <c r="B4" s="237" t="str">
        <f aca="true" ca="1" t="shared" si="0" ref="B4:B33">IF(E4="…"," ",IF(E4=""," ",RAND()))</f>
        <v> </v>
      </c>
      <c r="C4" s="237">
        <f>IF(ISNUMBER(D4)=TRUE,IF(COUNTIF(D4:D33,D4)=1,"","HIBA"),"")</f>
      </c>
      <c r="D4" s="171"/>
      <c r="E4" s="185"/>
      <c r="F4" s="185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</row>
    <row r="5" spans="1:22" ht="15.75">
      <c r="A5" s="187">
        <f>IF(D5&lt;&gt;"",2,"")</f>
      </c>
      <c r="B5" s="237" t="str">
        <f ca="1" t="shared" si="0"/>
        <v> </v>
      </c>
      <c r="C5" s="237">
        <f>IF(ISNUMBER(D5)=TRUE,IF(COUNTIF(D4:D33,D5)=1,"","HIBA"),"")</f>
      </c>
      <c r="D5" s="186"/>
      <c r="E5" s="187"/>
      <c r="F5" s="187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206"/>
      <c r="V5" s="206"/>
    </row>
    <row r="6" spans="1:22" ht="15.75">
      <c r="A6" s="187">
        <f>IF(D6&lt;&gt;"",3,"")</f>
      </c>
      <c r="B6" s="237" t="str">
        <f ca="1" t="shared" si="0"/>
        <v> </v>
      </c>
      <c r="C6" s="237">
        <f>IF(ISNUMBER(D6)=TRUE,IF(COUNTIF(D4:D33,D6)=1,"","HIBA"),"")</f>
      </c>
      <c r="D6" s="186"/>
      <c r="E6" s="187"/>
      <c r="F6" s="18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</row>
    <row r="7" spans="1:22" ht="15.75">
      <c r="A7" s="187">
        <f>IF(D7&lt;&gt;"",4,"")</f>
      </c>
      <c r="B7" s="237" t="str">
        <f ca="1" t="shared" si="0"/>
        <v> </v>
      </c>
      <c r="C7" s="237">
        <f>IF(ISNUMBER(D7)=TRUE,IF(COUNTIF(D4:D33,D7)=1,"","HIBA"),"")</f>
      </c>
      <c r="D7" s="186"/>
      <c r="E7" s="187"/>
      <c r="F7" s="18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</row>
    <row r="8" spans="1:22" ht="15.75">
      <c r="A8" s="187">
        <f>IF(D8&lt;&gt;"",5,"")</f>
      </c>
      <c r="B8" s="237" t="str">
        <f ca="1" t="shared" si="0"/>
        <v> </v>
      </c>
      <c r="C8" s="237">
        <f>IF(ISNUMBER(D8)=TRUE,IF(COUNTIF(D4:D33,D8)=1,"","HIBA"),"")</f>
      </c>
      <c r="D8" s="186"/>
      <c r="E8" s="187"/>
      <c r="F8" s="187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</row>
    <row r="9" spans="1:22" ht="15.75">
      <c r="A9" s="187">
        <f>IF(D9&lt;&gt;"",6,"")</f>
      </c>
      <c r="B9" s="237" t="str">
        <f ca="1" t="shared" si="0"/>
        <v> </v>
      </c>
      <c r="C9" s="237">
        <f>IF(ISNUMBER(D9)=TRUE,IF(COUNTIF(D4:D33,D9)=1,"","HIBA"),"")</f>
      </c>
      <c r="D9" s="186"/>
      <c r="E9" s="187"/>
      <c r="F9" s="187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</row>
    <row r="10" spans="1:22" ht="15.75">
      <c r="A10" s="187">
        <f>IF(D10&lt;&gt;"",7,"")</f>
      </c>
      <c r="B10" s="237" t="str">
        <f ca="1" t="shared" si="0"/>
        <v> </v>
      </c>
      <c r="C10" s="237">
        <f>IF(ISNUMBER(D10)=TRUE,IF(COUNTIF(D4:D33,D10)=1,"","HIBA"),"")</f>
      </c>
      <c r="D10" s="186"/>
      <c r="E10" s="187"/>
      <c r="F10" s="187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</row>
    <row r="11" spans="1:22" ht="15.75">
      <c r="A11" s="187">
        <f>IF(D11&lt;&gt;"",8,"")</f>
      </c>
      <c r="B11" s="237" t="str">
        <f ca="1" t="shared" si="0"/>
        <v> </v>
      </c>
      <c r="C11" s="237">
        <f>IF(ISNUMBER(D11)=TRUE,IF(COUNTIF(D4:D33,D11)=1,"","HIBA"),"")</f>
      </c>
      <c r="D11" s="186"/>
      <c r="E11" s="187"/>
      <c r="F11" s="187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</row>
    <row r="12" spans="1:22" ht="15.75">
      <c r="A12" s="187">
        <f>IF(D12&lt;&gt;"",9,"")</f>
      </c>
      <c r="B12" s="237" t="str">
        <f ca="1" t="shared" si="0"/>
        <v> </v>
      </c>
      <c r="C12" s="237">
        <f>IF(ISNUMBER(D12)=TRUE,IF(COUNTIF(D4:D33,D12)=1,"","HIBA"),"")</f>
      </c>
      <c r="D12" s="186"/>
      <c r="E12" s="187"/>
      <c r="F12" s="18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06"/>
      <c r="S12" s="206"/>
      <c r="T12" s="206"/>
      <c r="U12" s="206"/>
      <c r="V12" s="206"/>
    </row>
    <row r="13" spans="1:22" ht="15.75">
      <c r="A13" s="187">
        <f>IF(D13&lt;&gt;"",10,"")</f>
      </c>
      <c r="B13" s="237" t="str">
        <f ca="1" t="shared" si="0"/>
        <v> </v>
      </c>
      <c r="C13" s="237">
        <f>IF(ISNUMBER(D13)=TRUE,IF(COUNTIF(D4:D33,D13)=1,"","HIBA"),"")</f>
      </c>
      <c r="D13" s="186"/>
      <c r="E13" s="187"/>
      <c r="F13" s="187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  <c r="R13" s="206"/>
      <c r="S13" s="206"/>
      <c r="T13" s="206"/>
      <c r="U13" s="206"/>
      <c r="V13" s="206"/>
    </row>
    <row r="14" spans="1:22" ht="15.75">
      <c r="A14" s="187">
        <f>IF(D14&lt;&gt;"",11,"")</f>
      </c>
      <c r="B14" s="237" t="str">
        <f ca="1" t="shared" si="0"/>
        <v> </v>
      </c>
      <c r="C14" s="237">
        <f>IF(ISNUMBER(D14)=TRUE,IF(COUNTIF(D4:D33,D14)=1,"","HIBA"),"")</f>
      </c>
      <c r="D14" s="186"/>
      <c r="E14" s="187"/>
      <c r="F14" s="18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  <c r="R14" s="206"/>
      <c r="S14" s="206"/>
      <c r="T14" s="206"/>
      <c r="U14" s="206"/>
      <c r="V14" s="206"/>
    </row>
    <row r="15" spans="1:22" ht="15.75">
      <c r="A15" s="187">
        <f>IF(D15&lt;&gt;"",12,"")</f>
      </c>
      <c r="B15" s="237" t="str">
        <f ca="1" t="shared" si="0"/>
        <v> </v>
      </c>
      <c r="C15" s="237">
        <f>IF(ISNUMBER(D15)=TRUE,IF(COUNTIF(D4:D33,D15)=1,"","HIBA"),"")</f>
      </c>
      <c r="D15" s="186"/>
      <c r="E15" s="187"/>
      <c r="F15" s="187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</row>
    <row r="16" spans="1:22" ht="15.75">
      <c r="A16" s="187">
        <f>IF(D16&lt;&gt;"",13,"")</f>
      </c>
      <c r="B16" s="237" t="str">
        <f ca="1" t="shared" si="0"/>
        <v> </v>
      </c>
      <c r="C16" s="237">
        <f>IF(ISNUMBER(D16)=TRUE,IF(COUNTIF(D4:D33,D16)=1,"","HIBA"),"")</f>
      </c>
      <c r="D16" s="186"/>
      <c r="E16" s="187"/>
      <c r="F16" s="187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  <c r="U16" s="206"/>
      <c r="V16" s="206"/>
    </row>
    <row r="17" spans="1:22" ht="15.75">
      <c r="A17" s="187">
        <f>IF(D17&lt;&gt;"",14,"")</f>
      </c>
      <c r="B17" s="237" t="str">
        <f ca="1" t="shared" si="0"/>
        <v> </v>
      </c>
      <c r="C17" s="237">
        <f>IF(ISNUMBER(D17)=TRUE,IF(COUNTIF(D4:D33,D17)=1,"","HIBA"),"")</f>
      </c>
      <c r="D17" s="186"/>
      <c r="E17" s="187"/>
      <c r="F17" s="187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</row>
    <row r="18" spans="1:22" ht="15.75">
      <c r="A18" s="187">
        <f>IF(D18&lt;&gt;"",15,"")</f>
      </c>
      <c r="B18" s="237" t="str">
        <f ca="1" t="shared" si="0"/>
        <v> </v>
      </c>
      <c r="C18" s="237">
        <f>IF(ISNUMBER(D18)=TRUE,IF(COUNTIF(D4:D33,D18)=1,"","HIBA"),"")</f>
      </c>
      <c r="D18" s="186"/>
      <c r="E18" s="187"/>
      <c r="F18" s="187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</row>
    <row r="19" spans="1:22" ht="15.75">
      <c r="A19" s="187">
        <f>IF(D19&lt;&gt;"",16,"")</f>
      </c>
      <c r="B19" s="237" t="str">
        <f ca="1" t="shared" si="0"/>
        <v> </v>
      </c>
      <c r="C19" s="237">
        <f>IF(ISNUMBER(D19)=TRUE,IF(COUNTIF(D4:D33,D19)=1,"","HIBA"),"")</f>
      </c>
      <c r="D19" s="186"/>
      <c r="E19" s="187"/>
      <c r="F19" s="187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</row>
    <row r="20" spans="1:22" ht="15.75">
      <c r="A20" s="187">
        <f>IF(D20&lt;&gt;"","17","")</f>
      </c>
      <c r="B20" s="237" t="str">
        <f ca="1" t="shared" si="0"/>
        <v> </v>
      </c>
      <c r="C20" s="237">
        <f>IF(ISNUMBER(D20)=TRUE,IF(COUNTIF(D4:D33,D20)=1,"","HIBA"),"")</f>
      </c>
      <c r="D20" s="186"/>
      <c r="E20" s="187"/>
      <c r="F20" s="187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</row>
    <row r="21" spans="1:22" ht="15.75">
      <c r="A21" s="187">
        <f>IF(D21&lt;&gt;"",18,"")</f>
      </c>
      <c r="B21" s="237" t="str">
        <f ca="1" t="shared" si="0"/>
        <v> </v>
      </c>
      <c r="C21" s="237">
        <f>IF(ISNUMBER(D21)=TRUE,IF(COUNTIF(D4:D33,D21)=1,"","HIBA"),"")</f>
      </c>
      <c r="D21" s="186"/>
      <c r="E21" s="187"/>
      <c r="F21" s="187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</row>
    <row r="22" spans="1:22" ht="15.75">
      <c r="A22" s="187">
        <f>IF(D22&lt;&gt;"",19,"")</f>
      </c>
      <c r="B22" s="237" t="str">
        <f ca="1" t="shared" si="0"/>
        <v> </v>
      </c>
      <c r="C22" s="237">
        <f>IF(ISNUMBER(D22)=TRUE,IF(COUNTIF(D4:D33,D22)=1,"","HIBA"),"")</f>
      </c>
      <c r="D22" s="186"/>
      <c r="E22" s="187"/>
      <c r="F22" s="187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</row>
    <row r="23" spans="1:22" ht="15.75">
      <c r="A23" s="187">
        <f>IF(D23&lt;&gt;"",20,"")</f>
      </c>
      <c r="B23" s="237" t="str">
        <f ca="1" t="shared" si="0"/>
        <v> </v>
      </c>
      <c r="C23" s="237">
        <f>IF(ISNUMBER(D23)=TRUE,IF(COUNTIF(D4:D33,D23)=1,"","HIBA"),"")</f>
      </c>
      <c r="D23" s="186"/>
      <c r="E23" s="187"/>
      <c r="F23" s="187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</row>
    <row r="24" spans="1:22" ht="15.75">
      <c r="A24" s="187">
        <f>IF(D24&lt;&gt;"",21,"")</f>
      </c>
      <c r="B24" s="237" t="str">
        <f ca="1" t="shared" si="0"/>
        <v> </v>
      </c>
      <c r="C24" s="237">
        <f>IF(ISNUMBER(D24)=TRUE,IF(COUNTIF(D4:D33,D24)=1,"","HIBA"),"")</f>
      </c>
      <c r="D24" s="186"/>
      <c r="E24" s="187"/>
      <c r="F24" s="187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</row>
    <row r="25" spans="1:22" ht="15.75">
      <c r="A25" s="187">
        <f>IF(D25&lt;&gt;"",22,"")</f>
      </c>
      <c r="B25" s="237" t="str">
        <f ca="1" t="shared" si="0"/>
        <v> </v>
      </c>
      <c r="C25" s="237">
        <f>IF(ISNUMBER(D25)=TRUE,IF(COUNTIF(D4:D33,D25)=1,"","HIBA"),"")</f>
      </c>
      <c r="D25" s="186"/>
      <c r="E25" s="187"/>
      <c r="F25" s="187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206"/>
      <c r="U25" s="206"/>
      <c r="V25" s="206"/>
    </row>
    <row r="26" spans="1:22" ht="15.75">
      <c r="A26" s="187">
        <f>IF(D26&lt;&gt;"",23,"")</f>
      </c>
      <c r="B26" s="237" t="str">
        <f ca="1" t="shared" si="0"/>
        <v> </v>
      </c>
      <c r="C26" s="237">
        <f>IF(ISNUMBER(D26)=TRUE,IF(COUNTIF(D4:D33,D26)=1,"","HIBA"),"")</f>
      </c>
      <c r="D26" s="186"/>
      <c r="E26" s="187"/>
      <c r="F26" s="187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</row>
    <row r="27" spans="1:22" ht="15.75">
      <c r="A27" s="187">
        <f>IF(D27&lt;&gt;"",24,"")</f>
      </c>
      <c r="B27" s="237" t="str">
        <f ca="1" t="shared" si="0"/>
        <v> </v>
      </c>
      <c r="C27" s="237">
        <f>IF(ISNUMBER(D27)=TRUE,IF(COUNTIF(D4:D33,D27)=1,"","HIBA"),"")</f>
      </c>
      <c r="D27" s="186"/>
      <c r="E27" s="187"/>
      <c r="F27" s="187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</row>
    <row r="28" spans="1:22" ht="15.75">
      <c r="A28" s="187">
        <f>IF(D28&lt;&gt;"",25,"")</f>
      </c>
      <c r="B28" s="237" t="str">
        <f ca="1" t="shared" si="0"/>
        <v> </v>
      </c>
      <c r="C28" s="237">
        <f>IF(ISNUMBER(D28)=TRUE,IF(COUNTIF(D4:D33,D28)=1,"","HIBA"),"")</f>
      </c>
      <c r="D28" s="186"/>
      <c r="E28" s="187"/>
      <c r="F28" s="187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</row>
    <row r="29" spans="1:22" ht="15.75">
      <c r="A29" s="187">
        <f>IF(D29&lt;&gt;"",26,"")</f>
      </c>
      <c r="B29" s="237" t="str">
        <f ca="1" t="shared" si="0"/>
        <v> </v>
      </c>
      <c r="C29" s="237">
        <f>IF(ISNUMBER(D29)=TRUE,IF(COUNTIF(D4:D33,D29)=1,"","HIBA"),"")</f>
      </c>
      <c r="D29" s="186"/>
      <c r="E29" s="187"/>
      <c r="F29" s="187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</row>
    <row r="30" spans="1:22" ht="15.75">
      <c r="A30" s="187">
        <f>IF(D30&lt;&gt;"",27,"")</f>
      </c>
      <c r="B30" s="237" t="str">
        <f ca="1" t="shared" si="0"/>
        <v> </v>
      </c>
      <c r="C30" s="237">
        <f>IF(ISNUMBER(D30)=TRUE,IF(COUNTIF(D4:D33,D30)=1,"","HIBA"),"")</f>
      </c>
      <c r="D30" s="186"/>
      <c r="E30" s="187"/>
      <c r="F30" s="187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</row>
    <row r="31" spans="1:22" ht="15.75">
      <c r="A31" s="187">
        <f>IF(D31&lt;&gt;"",28,"")</f>
      </c>
      <c r="B31" s="237" t="str">
        <f ca="1" t="shared" si="0"/>
        <v> </v>
      </c>
      <c r="C31" s="237">
        <f>IF(ISNUMBER(D31)=TRUE,IF(COUNTIF(D4:D33,D31)=1,"","HIBA"),"")</f>
      </c>
      <c r="D31" s="186"/>
      <c r="E31" s="187"/>
      <c r="F31" s="187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  <c r="R31" s="206"/>
      <c r="S31" s="206"/>
      <c r="T31" s="206"/>
      <c r="U31" s="206"/>
      <c r="V31" s="206"/>
    </row>
    <row r="32" spans="1:22" ht="15.75">
      <c r="A32" s="187">
        <f>IF(D32&lt;&gt;"",29,"")</f>
      </c>
      <c r="B32" s="237" t="str">
        <f ca="1" t="shared" si="0"/>
        <v> </v>
      </c>
      <c r="C32" s="237">
        <f>IF(ISNUMBER(D32)=TRUE,IF(COUNTIF(D4:D33,D32)=1,"","HIBA"),"")</f>
      </c>
      <c r="D32" s="186"/>
      <c r="E32" s="187"/>
      <c r="F32" s="187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  <c r="R32" s="206"/>
      <c r="S32" s="206"/>
      <c r="T32" s="206"/>
      <c r="U32" s="206"/>
      <c r="V32" s="206"/>
    </row>
    <row r="33" spans="1:22" ht="15.75">
      <c r="A33" s="187">
        <f>IF(D33&lt;&gt;"",30,"")</f>
      </c>
      <c r="B33" s="237" t="str">
        <f ca="1" t="shared" si="0"/>
        <v> </v>
      </c>
      <c r="C33" s="237">
        <f>IF(ISNUMBER(D33)=TRUE,IF(COUNTIF(D4:D33,D33)=1,"","HIBA"),"")</f>
      </c>
      <c r="D33" s="186"/>
      <c r="E33" s="187"/>
      <c r="F33" s="187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</row>
    <row r="34" spans="1:22" ht="15.75">
      <c r="A34" s="206"/>
      <c r="B34" s="237"/>
      <c r="C34" s="237"/>
      <c r="D34" s="238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  <c r="R34" s="206"/>
      <c r="S34" s="206"/>
      <c r="T34" s="206"/>
      <c r="U34" s="206"/>
      <c r="V34" s="206"/>
    </row>
    <row r="35" spans="1:22" ht="15.75">
      <c r="A35" s="206"/>
      <c r="B35" s="237"/>
      <c r="C35" s="237"/>
      <c r="D35" s="238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  <c r="R35" s="206"/>
      <c r="S35" s="206"/>
      <c r="T35" s="206"/>
      <c r="U35" s="206"/>
      <c r="V35" s="206"/>
    </row>
    <row r="36" spans="1:22" ht="15.75">
      <c r="A36" s="206"/>
      <c r="B36" s="237"/>
      <c r="C36" s="237"/>
      <c r="D36" s="238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  <c r="R36" s="206"/>
      <c r="S36" s="206"/>
      <c r="T36" s="206"/>
      <c r="U36" s="206"/>
      <c r="V36" s="206"/>
    </row>
    <row r="37" spans="1:22" ht="15.75">
      <c r="A37" s="206"/>
      <c r="B37" s="237"/>
      <c r="C37" s="237"/>
      <c r="D37" s="238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  <c r="S37" s="206"/>
      <c r="T37" s="206"/>
      <c r="U37" s="206"/>
      <c r="V37" s="206"/>
    </row>
    <row r="38" spans="1:22" ht="15.75">
      <c r="A38" s="206"/>
      <c r="B38" s="237"/>
      <c r="C38" s="237"/>
      <c r="D38" s="238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  <c r="S38" s="206"/>
      <c r="T38" s="206"/>
      <c r="U38" s="206"/>
      <c r="V38" s="206"/>
    </row>
    <row r="39" spans="1:22" ht="15.75">
      <c r="A39" s="206"/>
      <c r="B39" s="237"/>
      <c r="C39" s="237"/>
      <c r="D39" s="238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  <c r="R39" s="206"/>
      <c r="S39" s="206"/>
      <c r="T39" s="206"/>
      <c r="U39" s="206"/>
      <c r="V39" s="206"/>
    </row>
    <row r="40" spans="1:22" ht="15.75">
      <c r="A40" s="206"/>
      <c r="B40" s="237"/>
      <c r="C40" s="237"/>
      <c r="D40" s="238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  <c r="R40" s="206"/>
      <c r="S40" s="206"/>
      <c r="T40" s="206"/>
      <c r="U40" s="206"/>
      <c r="V40" s="206"/>
    </row>
    <row r="41" spans="1:22" ht="15.75">
      <c r="A41" s="206"/>
      <c r="B41" s="237"/>
      <c r="C41" s="237"/>
      <c r="D41" s="238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  <c r="R41" s="206"/>
      <c r="S41" s="206"/>
      <c r="T41" s="206"/>
      <c r="U41" s="206"/>
      <c r="V41" s="206"/>
    </row>
    <row r="42" spans="1:22" ht="15.75">
      <c r="A42" s="206"/>
      <c r="B42" s="237"/>
      <c r="C42" s="237"/>
      <c r="D42" s="238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6"/>
    </row>
    <row r="43" spans="1:22" ht="15.75">
      <c r="A43" s="206"/>
      <c r="B43" s="237"/>
      <c r="C43" s="237"/>
      <c r="D43" s="238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</row>
    <row r="44" spans="1:22" ht="15.75">
      <c r="A44" s="206"/>
      <c r="B44" s="237"/>
      <c r="C44" s="237"/>
      <c r="D44" s="238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</row>
    <row r="45" spans="1:22" ht="15.75">
      <c r="A45" s="206"/>
      <c r="B45" s="237"/>
      <c r="C45" s="237"/>
      <c r="D45" s="238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T81"/>
  <sheetViews>
    <sheetView zoomScalePageLayoutView="0" workbookViewId="0" topLeftCell="A1">
      <selection activeCell="F11" sqref="F10:F11"/>
    </sheetView>
  </sheetViews>
  <sheetFormatPr defaultColWidth="9.140625" defaultRowHeight="12.75"/>
  <cols>
    <col min="1" max="1" width="5.140625" style="28" customWidth="1"/>
    <col min="2" max="2" width="10.00390625" style="22" customWidth="1"/>
    <col min="3" max="3" width="48.57421875" style="2" customWidth="1"/>
    <col min="4" max="4" width="29.28125" style="2" customWidth="1"/>
    <col min="5" max="16384" width="9.140625" style="2" customWidth="1"/>
  </cols>
  <sheetData>
    <row r="1" spans="1:20" ht="24" customHeight="1" thickBot="1">
      <c r="A1" s="146"/>
      <c r="B1" s="147"/>
      <c r="C1" s="148" t="s">
        <v>55</v>
      </c>
      <c r="D1" s="149"/>
      <c r="E1" s="174"/>
      <c r="F1" s="241" t="s">
        <v>88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</row>
    <row r="2" spans="1:20" ht="24" customHeight="1" thickBot="1">
      <c r="A2" s="165" t="s">
        <v>6</v>
      </c>
      <c r="B2" s="147"/>
      <c r="C2" s="166" t="str">
        <f>Rajtlista!E1</f>
        <v>Boogie - Woogie</v>
      </c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20" ht="21.75" customHeight="1" thickBot="1">
      <c r="A3" s="167" t="s">
        <v>5</v>
      </c>
      <c r="B3" s="158" t="s">
        <v>0</v>
      </c>
      <c r="C3" s="168" t="s">
        <v>1</v>
      </c>
      <c r="D3" s="169" t="s">
        <v>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</row>
    <row r="4" spans="1:20" ht="15.75">
      <c r="A4" s="229"/>
      <c r="B4" s="171"/>
      <c r="C4" s="185"/>
      <c r="D4" s="185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15.75">
      <c r="A5" s="232"/>
      <c r="B5" s="186"/>
      <c r="C5" s="187"/>
      <c r="D5" s="187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</row>
    <row r="6" spans="1:20" ht="15.75">
      <c r="A6" s="232"/>
      <c r="B6" s="186"/>
      <c r="C6" s="187"/>
      <c r="D6" s="187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</row>
    <row r="7" spans="1:20" ht="15.75">
      <c r="A7" s="232"/>
      <c r="B7" s="186"/>
      <c r="C7" s="187"/>
      <c r="D7" s="187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</row>
    <row r="8" spans="1:20" ht="15.75">
      <c r="A8" s="232"/>
      <c r="B8" s="186"/>
      <c r="C8" s="187"/>
      <c r="D8" s="187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</row>
    <row r="9" spans="1:20" ht="15.75">
      <c r="A9" s="232"/>
      <c r="B9" s="186"/>
      <c r="C9" s="187"/>
      <c r="D9" s="187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</row>
    <row r="10" spans="1:20" ht="15.75">
      <c r="A10" s="232"/>
      <c r="B10" s="186"/>
      <c r="C10" s="187"/>
      <c r="D10" s="187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</row>
    <row r="11" spans="1:20" ht="15.75">
      <c r="A11" s="232"/>
      <c r="B11" s="186"/>
      <c r="C11" s="187"/>
      <c r="D11" s="187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</row>
    <row r="12" spans="1:20" ht="15.75">
      <c r="A12" s="232"/>
      <c r="B12" s="186"/>
      <c r="C12" s="187"/>
      <c r="D12" s="187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</row>
    <row r="13" spans="1:20" ht="15.75">
      <c r="A13" s="232"/>
      <c r="B13" s="186"/>
      <c r="C13" s="187"/>
      <c r="D13" s="187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</row>
    <row r="14" spans="1:20" ht="15.75">
      <c r="A14" s="232"/>
      <c r="B14" s="186"/>
      <c r="C14" s="187"/>
      <c r="D14" s="187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15.75">
      <c r="A15" s="230"/>
      <c r="B15" s="186"/>
      <c r="C15" s="187"/>
      <c r="D15" s="187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</row>
    <row r="16" spans="1:20" ht="15.75">
      <c r="A16" s="230"/>
      <c r="B16" s="186"/>
      <c r="C16" s="187"/>
      <c r="D16" s="187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</row>
    <row r="17" spans="1:20" ht="15.75">
      <c r="A17" s="230"/>
      <c r="B17" s="186"/>
      <c r="C17" s="187"/>
      <c r="D17" s="187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</row>
    <row r="18" spans="1:20" ht="15.75">
      <c r="A18" s="230"/>
      <c r="B18" s="186"/>
      <c r="C18" s="187"/>
      <c r="D18" s="187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</row>
    <row r="19" spans="1:20" ht="15.75">
      <c r="A19" s="230"/>
      <c r="B19" s="186"/>
      <c r="C19" s="187"/>
      <c r="D19" s="187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</row>
    <row r="20" spans="1:20" ht="15.75">
      <c r="A20" s="230"/>
      <c r="B20" s="186"/>
      <c r="C20" s="187"/>
      <c r="D20" s="187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</row>
    <row r="21" spans="1:20" ht="12.75">
      <c r="A21" s="230"/>
      <c r="B21" s="231"/>
      <c r="C21" s="232"/>
      <c r="D21" s="232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</row>
    <row r="22" spans="1:20" ht="12.75">
      <c r="A22" s="230"/>
      <c r="B22" s="231"/>
      <c r="C22" s="232"/>
      <c r="D22" s="232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</row>
    <row r="23" spans="1:20" ht="12.75">
      <c r="A23" s="230"/>
      <c r="B23" s="231"/>
      <c r="C23" s="232"/>
      <c r="D23" s="232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</row>
    <row r="24" spans="1:20" ht="12.75">
      <c r="A24" s="230"/>
      <c r="B24" s="231"/>
      <c r="C24" s="232"/>
      <c r="D24" s="232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</row>
    <row r="25" spans="1:20" ht="12.75">
      <c r="A25" s="230"/>
      <c r="B25" s="231"/>
      <c r="C25" s="232"/>
      <c r="D25" s="23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  <c r="Q25" s="174"/>
      <c r="R25" s="174"/>
      <c r="S25" s="174"/>
      <c r="T25" s="174"/>
    </row>
    <row r="26" spans="1:20" ht="12.75">
      <c r="A26" s="230"/>
      <c r="B26" s="231"/>
      <c r="C26" s="232"/>
      <c r="D26" s="23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</row>
    <row r="27" spans="1:20" ht="12.75">
      <c r="A27" s="230"/>
      <c r="B27" s="231"/>
      <c r="C27" s="232"/>
      <c r="D27" s="23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</row>
    <row r="28" spans="1:20" ht="12.75">
      <c r="A28" s="230"/>
      <c r="B28" s="231"/>
      <c r="C28" s="232"/>
      <c r="D28" s="23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</row>
    <row r="29" spans="1:20" ht="12.75">
      <c r="A29" s="230"/>
      <c r="B29" s="231"/>
      <c r="C29" s="232"/>
      <c r="D29" s="23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</row>
    <row r="30" spans="1:20" ht="12.75">
      <c r="A30" s="230"/>
      <c r="B30" s="231"/>
      <c r="C30" s="232"/>
      <c r="D30" s="23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</row>
    <row r="31" spans="1:20" ht="12.75">
      <c r="A31" s="230"/>
      <c r="B31" s="231"/>
      <c r="C31" s="232"/>
      <c r="D31" s="23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</row>
    <row r="32" spans="1:20" ht="12.75">
      <c r="A32" s="230"/>
      <c r="B32" s="231"/>
      <c r="C32" s="232"/>
      <c r="D32" s="23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</row>
    <row r="33" spans="1:20" ht="12.75">
      <c r="A33" s="230"/>
      <c r="B33" s="231"/>
      <c r="C33" s="232"/>
      <c r="D33" s="23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  <c r="Q33" s="174"/>
      <c r="R33" s="174"/>
      <c r="S33" s="174"/>
      <c r="T33" s="174"/>
    </row>
    <row r="34" spans="1:20" ht="12.75">
      <c r="A34" s="230"/>
      <c r="B34" s="231"/>
      <c r="C34" s="232"/>
      <c r="D34" s="23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</row>
    <row r="35" spans="1:20" ht="12.75">
      <c r="A35" s="230"/>
      <c r="B35" s="231"/>
      <c r="C35" s="232"/>
      <c r="D35" s="23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</row>
    <row r="36" spans="1:20" ht="12.75">
      <c r="A36" s="230"/>
      <c r="B36" s="231"/>
      <c r="C36" s="232"/>
      <c r="D36" s="23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</row>
    <row r="37" spans="1:20" ht="12.75">
      <c r="A37" s="172"/>
      <c r="B37" s="173"/>
      <c r="C37" s="174"/>
      <c r="D37" s="174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</row>
    <row r="38" spans="1:20" ht="12.75">
      <c r="A38" s="172"/>
      <c r="B38" s="173"/>
      <c r="C38" s="174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  <c r="Q38" s="174"/>
      <c r="R38" s="174"/>
      <c r="S38" s="174"/>
      <c r="T38" s="174"/>
    </row>
    <row r="39" spans="1:20" ht="12.75">
      <c r="A39" s="172"/>
      <c r="B39" s="173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</row>
    <row r="40" spans="1:20" ht="12.75">
      <c r="A40" s="172"/>
      <c r="B40" s="173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</row>
    <row r="41" spans="1:20" ht="12.75">
      <c r="A41" s="172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  <c r="Q41" s="174"/>
      <c r="R41" s="174"/>
      <c r="S41" s="174"/>
      <c r="T41" s="174"/>
    </row>
    <row r="42" spans="1:20" ht="12.75">
      <c r="A42" s="172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</row>
    <row r="43" spans="1:20" ht="12.75">
      <c r="A43" s="172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</row>
    <row r="44" spans="1:20" ht="12.75">
      <c r="A44" s="172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</row>
    <row r="45" spans="1:20" ht="12.75">
      <c r="A45" s="172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</row>
    <row r="46" spans="1:20" ht="12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</row>
    <row r="47" spans="1:20" ht="12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</row>
    <row r="48" spans="1:20" ht="12.75">
      <c r="A48" s="172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  <c r="Q48" s="174"/>
      <c r="R48" s="174"/>
      <c r="S48" s="174"/>
      <c r="T48" s="174"/>
    </row>
    <row r="49" spans="1:20" ht="12.75">
      <c r="A49" s="172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</row>
    <row r="50" spans="1:20" ht="12.75">
      <c r="A50" s="172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</row>
    <row r="51" spans="1:20" ht="12.75">
      <c r="A51" s="172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</row>
    <row r="52" spans="1:20" ht="12.75">
      <c r="A52" s="172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</row>
    <row r="53" spans="1:20" ht="12.75">
      <c r="A53" s="172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</row>
    <row r="54" spans="1:20" ht="12.75">
      <c r="A54" s="172"/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</row>
    <row r="55" spans="1:20" ht="12.75">
      <c r="A55" s="172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</row>
    <row r="56" spans="1:20" ht="12.75">
      <c r="A56" s="172"/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</row>
    <row r="57" spans="1:20" ht="12.75">
      <c r="A57" s="172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</row>
    <row r="58" spans="1:20" ht="12.75">
      <c r="A58" s="172"/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</row>
    <row r="59" spans="1:20" ht="12.75">
      <c r="A59" s="172"/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</row>
    <row r="60" spans="1:20" ht="12.75">
      <c r="A60" s="172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</row>
    <row r="61" spans="1:20" ht="12.75">
      <c r="A61" s="172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</row>
    <row r="62" spans="1:20" ht="12.75">
      <c r="A62" s="172"/>
      <c r="B62" s="173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</row>
    <row r="63" spans="1:20" ht="12.75">
      <c r="A63" s="172"/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</row>
    <row r="64" spans="1:20" ht="12.75">
      <c r="A64" s="172"/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</row>
    <row r="65" spans="1:20" ht="12.75">
      <c r="A65" s="172"/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</row>
    <row r="66" spans="1:20" ht="12.75">
      <c r="A66" s="172"/>
      <c r="B66" s="173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</row>
    <row r="67" spans="1:20" ht="12.75">
      <c r="A67" s="172"/>
      <c r="B67" s="173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</row>
    <row r="68" spans="1:20" ht="12.75">
      <c r="A68" s="172"/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</row>
    <row r="69" spans="1:20" ht="12.75">
      <c r="A69" s="172"/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</row>
    <row r="70" spans="1:20" ht="12.75">
      <c r="A70" s="172"/>
      <c r="B70" s="17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</row>
    <row r="71" spans="1:20" ht="12.75">
      <c r="A71" s="172"/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</row>
    <row r="72" spans="1:20" ht="12.75">
      <c r="A72" s="172"/>
      <c r="B72" s="173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</row>
    <row r="73" spans="1:20" ht="12.75">
      <c r="A73" s="172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</row>
    <row r="74" spans="1:20" ht="12.75">
      <c r="A74" s="172"/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</row>
    <row r="75" spans="1:20" ht="12.75">
      <c r="A75" s="172"/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</row>
    <row r="76" spans="1:20" ht="12.75">
      <c r="A76" s="172"/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</row>
    <row r="77" spans="1:20" ht="12.75">
      <c r="A77" s="172"/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</row>
    <row r="78" spans="1:20" ht="12.75">
      <c r="A78" s="172"/>
      <c r="B78" s="173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</row>
    <row r="79" spans="1:20" ht="12.75">
      <c r="A79" s="172"/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</row>
    <row r="80" spans="1:20" ht="12.75">
      <c r="A80" s="172"/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</row>
    <row r="81" spans="1:20" ht="12.75">
      <c r="A81" s="172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</row>
  </sheetData>
  <sheetProtection/>
  <printOptions/>
  <pageMargins left="0.55" right="0.43" top="1" bottom="1" header="0.5" footer="0.5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AD47"/>
  <sheetViews>
    <sheetView zoomScalePageLayoutView="0" workbookViewId="0" topLeftCell="A1">
      <selection activeCell="W28" sqref="W28"/>
    </sheetView>
  </sheetViews>
  <sheetFormatPr defaultColWidth="9.140625" defaultRowHeight="12.75"/>
  <cols>
    <col min="1" max="1" width="7.57421875" style="20" customWidth="1"/>
    <col min="2" max="2" width="11.140625" style="24" customWidth="1"/>
    <col min="3" max="4" width="2.7109375" style="24" hidden="1" customWidth="1"/>
    <col min="5" max="5" width="10.421875" style="24" customWidth="1"/>
    <col min="6" max="6" width="4.421875" style="24" hidden="1" customWidth="1"/>
    <col min="7" max="7" width="10.57421875" style="24" customWidth="1"/>
    <col min="8" max="8" width="3.57421875" style="24" hidden="1" customWidth="1"/>
    <col min="9" max="9" width="10.57421875" style="24" customWidth="1"/>
    <col min="10" max="10" width="3.57421875" style="24" hidden="1" customWidth="1"/>
    <col min="11" max="11" width="10.57421875" style="24" customWidth="1"/>
    <col min="12" max="12" width="5.7109375" style="24" hidden="1" customWidth="1"/>
    <col min="13" max="13" width="10.421875" style="24" customWidth="1"/>
    <col min="14" max="14" width="5.00390625" style="24" hidden="1" customWidth="1"/>
    <col min="15" max="15" width="7.7109375" style="24" customWidth="1"/>
    <col min="16" max="16" width="9.140625" style="24" hidden="1" customWidth="1"/>
    <col min="17" max="17" width="0.2890625" style="24" hidden="1" customWidth="1"/>
    <col min="18" max="18" width="8.28125" style="24" customWidth="1"/>
    <col min="19" max="19" width="4.8515625" style="24" hidden="1" customWidth="1"/>
    <col min="20" max="20" width="4.7109375" style="24" hidden="1" customWidth="1"/>
    <col min="21" max="16384" width="9.140625" style="20" customWidth="1"/>
  </cols>
  <sheetData>
    <row r="1" spans="1:30" ht="30.75" customHeight="1" thickBot="1">
      <c r="A1" s="111"/>
      <c r="B1" s="112"/>
      <c r="C1" s="112"/>
      <c r="D1" s="112"/>
      <c r="E1" s="112"/>
      <c r="F1" s="112"/>
      <c r="G1" s="124" t="s">
        <v>70</v>
      </c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1"/>
      <c r="V1" s="241" t="s">
        <v>88</v>
      </c>
      <c r="W1" s="111"/>
      <c r="X1" s="111"/>
      <c r="Y1" s="111"/>
      <c r="Z1" s="111"/>
      <c r="AA1" s="111"/>
      <c r="AB1" s="111"/>
      <c r="AC1" s="111"/>
      <c r="AD1" s="111"/>
    </row>
    <row r="2" spans="1:30" ht="16.5" customHeight="1" thickBot="1">
      <c r="A2" s="29" t="s">
        <v>14</v>
      </c>
      <c r="B2" s="30"/>
      <c r="C2" s="30"/>
      <c r="D2" s="30"/>
      <c r="E2" s="261">
        <v>0</v>
      </c>
      <c r="F2" s="12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22">
        <f>Rajtlista!F2</f>
        <v>5</v>
      </c>
      <c r="T2" s="122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3.5" thickBot="1">
      <c r="A3" s="111"/>
      <c r="B3" s="112"/>
      <c r="C3" s="112"/>
      <c r="D3" s="112"/>
      <c r="E3" s="112"/>
      <c r="F3" s="12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22"/>
      <c r="T3" s="122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3.5" thickBot="1">
      <c r="A4" s="111"/>
      <c r="B4" s="290" t="s">
        <v>0</v>
      </c>
      <c r="C4" s="290" t="s">
        <v>1</v>
      </c>
      <c r="D4" s="290" t="s">
        <v>2</v>
      </c>
      <c r="E4" s="291" t="s">
        <v>8</v>
      </c>
      <c r="F4" s="139"/>
      <c r="G4" s="291" t="s">
        <v>9</v>
      </c>
      <c r="H4" s="139"/>
      <c r="I4" s="290" t="s">
        <v>10</v>
      </c>
      <c r="J4" s="291"/>
      <c r="K4" s="291" t="s">
        <v>11</v>
      </c>
      <c r="L4" s="291"/>
      <c r="M4" s="139" t="s">
        <v>12</v>
      </c>
      <c r="N4" s="291"/>
      <c r="O4" s="290" t="s">
        <v>20</v>
      </c>
      <c r="P4" s="290" t="s">
        <v>0</v>
      </c>
      <c r="Q4" s="163" t="s">
        <v>13</v>
      </c>
      <c r="R4" s="291" t="s">
        <v>21</v>
      </c>
      <c r="S4" s="23" t="s">
        <v>17</v>
      </c>
      <c r="T4" s="25" t="s">
        <v>18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5.75">
      <c r="A5" s="111"/>
      <c r="B5" s="171"/>
      <c r="C5" s="185"/>
      <c r="D5" s="185"/>
      <c r="E5" s="284"/>
      <c r="F5" s="284"/>
      <c r="G5" s="284"/>
      <c r="H5" s="284"/>
      <c r="I5" s="286"/>
      <c r="J5" s="284"/>
      <c r="K5" s="284"/>
      <c r="L5" s="284"/>
      <c r="M5" s="284"/>
      <c r="N5" s="292"/>
      <c r="O5" s="292"/>
      <c r="P5" s="171"/>
      <c r="Q5" s="284"/>
      <c r="R5" s="292"/>
      <c r="S5" s="26">
        <f aca="true" t="shared" si="0" ref="S5:S13">MAX(E5,G5,I5,K5,M5)</f>
        <v>0</v>
      </c>
      <c r="T5" s="26">
        <f aca="true" t="shared" si="1" ref="T5:T13">MIN(E5,G5,I5,K5,M5)</f>
        <v>0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15.75">
      <c r="A6" s="111"/>
      <c r="B6" s="186"/>
      <c r="C6" s="187"/>
      <c r="D6" s="187"/>
      <c r="E6" s="284"/>
      <c r="F6" s="284"/>
      <c r="G6" s="284"/>
      <c r="H6" s="284"/>
      <c r="I6" s="286"/>
      <c r="J6" s="284"/>
      <c r="K6" s="284"/>
      <c r="L6" s="284"/>
      <c r="M6" s="284"/>
      <c r="N6" s="284"/>
      <c r="O6" s="292"/>
      <c r="P6" s="186"/>
      <c r="Q6" s="284"/>
      <c r="R6" s="292"/>
      <c r="S6" s="26">
        <f t="shared" si="0"/>
        <v>0</v>
      </c>
      <c r="T6" s="26">
        <f t="shared" si="1"/>
        <v>0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5.75">
      <c r="A7" s="111"/>
      <c r="B7" s="186"/>
      <c r="C7" s="187"/>
      <c r="D7" s="187"/>
      <c r="E7" s="284"/>
      <c r="F7" s="284"/>
      <c r="G7" s="284"/>
      <c r="H7" s="284"/>
      <c r="I7" s="286"/>
      <c r="J7" s="284"/>
      <c r="K7" s="284"/>
      <c r="L7" s="284"/>
      <c r="M7" s="284"/>
      <c r="N7" s="284"/>
      <c r="O7" s="292"/>
      <c r="P7" s="186"/>
      <c r="Q7" s="284"/>
      <c r="R7" s="292"/>
      <c r="S7" s="26">
        <f t="shared" si="0"/>
        <v>0</v>
      </c>
      <c r="T7" s="26">
        <f t="shared" si="1"/>
        <v>0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5.75">
      <c r="A8" s="111"/>
      <c r="B8" s="186"/>
      <c r="C8" s="187"/>
      <c r="D8" s="187"/>
      <c r="E8" s="292"/>
      <c r="F8" s="292"/>
      <c r="G8" s="292"/>
      <c r="H8" s="292"/>
      <c r="I8" s="293"/>
      <c r="J8" s="292"/>
      <c r="K8" s="292"/>
      <c r="L8" s="292"/>
      <c r="M8" s="292"/>
      <c r="N8" s="284"/>
      <c r="O8" s="292"/>
      <c r="P8" s="186"/>
      <c r="Q8" s="292"/>
      <c r="R8" s="292"/>
      <c r="S8" s="26">
        <f t="shared" si="0"/>
        <v>0</v>
      </c>
      <c r="T8" s="26">
        <f t="shared" si="1"/>
        <v>0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5.75">
      <c r="A9" s="111"/>
      <c r="B9" s="186"/>
      <c r="C9" s="187"/>
      <c r="D9" s="187"/>
      <c r="E9" s="284"/>
      <c r="F9" s="284"/>
      <c r="G9" s="284"/>
      <c r="H9" s="284"/>
      <c r="I9" s="286"/>
      <c r="J9" s="284"/>
      <c r="K9" s="284"/>
      <c r="L9" s="284"/>
      <c r="M9" s="284"/>
      <c r="N9" s="284"/>
      <c r="O9" s="292"/>
      <c r="P9" s="186"/>
      <c r="Q9" s="284"/>
      <c r="R9" s="292"/>
      <c r="S9" s="26">
        <f t="shared" si="0"/>
        <v>0</v>
      </c>
      <c r="T9" s="26">
        <f t="shared" si="1"/>
        <v>0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5.75">
      <c r="A10" s="111"/>
      <c r="B10" s="186"/>
      <c r="C10" s="187"/>
      <c r="D10" s="187"/>
      <c r="E10" s="284"/>
      <c r="F10" s="284"/>
      <c r="G10" s="284"/>
      <c r="H10" s="284"/>
      <c r="I10" s="286"/>
      <c r="J10" s="284"/>
      <c r="K10" s="284"/>
      <c r="L10" s="284"/>
      <c r="M10" s="284"/>
      <c r="N10" s="284"/>
      <c r="O10" s="292"/>
      <c r="P10" s="186"/>
      <c r="Q10" s="284"/>
      <c r="R10" s="292"/>
      <c r="S10" s="26">
        <f t="shared" si="0"/>
        <v>0</v>
      </c>
      <c r="T10" s="26">
        <f t="shared" si="1"/>
        <v>0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ht="15.75">
      <c r="A11" s="111"/>
      <c r="B11" s="186"/>
      <c r="C11" s="187"/>
      <c r="D11" s="187"/>
      <c r="E11" s="284"/>
      <c r="F11" s="284"/>
      <c r="G11" s="284"/>
      <c r="H11" s="284"/>
      <c r="I11" s="286"/>
      <c r="J11" s="284"/>
      <c r="K11" s="284"/>
      <c r="L11" s="284"/>
      <c r="M11" s="284"/>
      <c r="N11" s="284"/>
      <c r="O11" s="292"/>
      <c r="P11" s="186"/>
      <c r="Q11" s="284"/>
      <c r="R11" s="292"/>
      <c r="S11" s="26">
        <f t="shared" si="0"/>
        <v>0</v>
      </c>
      <c r="T11" s="26">
        <f t="shared" si="1"/>
        <v>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ht="15.75" customHeight="1">
      <c r="A12" s="111"/>
      <c r="B12" s="186"/>
      <c r="C12" s="187"/>
      <c r="D12" s="187"/>
      <c r="E12" s="284"/>
      <c r="F12" s="284"/>
      <c r="G12" s="284"/>
      <c r="H12" s="284"/>
      <c r="I12" s="286"/>
      <c r="J12" s="284"/>
      <c r="K12" s="284"/>
      <c r="L12" s="284"/>
      <c r="M12" s="284"/>
      <c r="N12" s="284"/>
      <c r="O12" s="292"/>
      <c r="P12" s="186"/>
      <c r="Q12" s="284"/>
      <c r="R12" s="292"/>
      <c r="S12" s="26">
        <f t="shared" si="0"/>
        <v>0</v>
      </c>
      <c r="T12" s="26">
        <f t="shared" si="1"/>
        <v>0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ht="15.75" customHeight="1">
      <c r="A13" s="111"/>
      <c r="B13" s="186"/>
      <c r="C13" s="187"/>
      <c r="D13" s="187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92"/>
      <c r="P13" s="186"/>
      <c r="Q13" s="284"/>
      <c r="R13" s="292"/>
      <c r="S13" s="26">
        <f t="shared" si="0"/>
        <v>0</v>
      </c>
      <c r="T13" s="26">
        <f t="shared" si="1"/>
        <v>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ht="15.75" customHeight="1">
      <c r="A14" s="111"/>
      <c r="B14" s="186"/>
      <c r="C14" s="187"/>
      <c r="D14" s="187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92"/>
      <c r="P14" s="186"/>
      <c r="Q14" s="284"/>
      <c r="R14" s="292"/>
      <c r="S14" s="26">
        <f aca="true" t="shared" si="2" ref="S14:S33">IF(B14="","",MAX(E14,G14,I14,K14,M14))</f>
      </c>
      <c r="T14" s="26">
        <f aca="true" t="shared" si="3" ref="T14:T33">IF(B14="","",MIN(E14,G14,I14,K14,M14))</f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15.75" customHeight="1">
      <c r="A15" s="111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92"/>
      <c r="P15" s="171"/>
      <c r="Q15" s="292"/>
      <c r="R15" s="292"/>
      <c r="S15" s="26">
        <f t="shared" si="2"/>
      </c>
      <c r="T15" s="26">
        <f t="shared" si="3"/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ht="15.75" customHeight="1">
      <c r="A16" s="111"/>
      <c r="B16" s="284"/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92"/>
      <c r="P16" s="171"/>
      <c r="Q16" s="292"/>
      <c r="R16" s="292"/>
      <c r="S16" s="26">
        <f t="shared" si="2"/>
      </c>
      <c r="T16" s="26">
        <f t="shared" si="3"/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15.75" customHeight="1">
      <c r="A17" s="111"/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84"/>
      <c r="N17" s="284"/>
      <c r="O17" s="292"/>
      <c r="P17" s="171"/>
      <c r="Q17" s="292"/>
      <c r="R17" s="292"/>
      <c r="S17" s="26">
        <f t="shared" si="2"/>
      </c>
      <c r="T17" s="26">
        <f t="shared" si="3"/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15.75" customHeight="1">
      <c r="A18" s="111"/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92"/>
      <c r="P18" s="171"/>
      <c r="Q18" s="292"/>
      <c r="R18" s="292"/>
      <c r="S18" s="26">
        <f t="shared" si="2"/>
      </c>
      <c r="T18" s="26">
        <f t="shared" si="3"/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15.75" customHeight="1">
      <c r="A19" s="111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92"/>
      <c r="P19" s="171"/>
      <c r="Q19" s="292"/>
      <c r="R19" s="292"/>
      <c r="S19" s="26">
        <f t="shared" si="2"/>
      </c>
      <c r="T19" s="26">
        <f t="shared" si="3"/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15.75" customHeight="1">
      <c r="A20" s="111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92"/>
      <c r="P20" s="171"/>
      <c r="Q20" s="292"/>
      <c r="R20" s="292"/>
      <c r="S20" s="26">
        <f t="shared" si="2"/>
      </c>
      <c r="T20" s="26">
        <f t="shared" si="3"/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15.75" customHeight="1">
      <c r="A21" s="111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92"/>
      <c r="P21" s="171"/>
      <c r="Q21" s="292"/>
      <c r="R21" s="292"/>
      <c r="S21" s="26">
        <f t="shared" si="2"/>
      </c>
      <c r="T21" s="26">
        <f t="shared" si="3"/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15.75" customHeight="1">
      <c r="A22" s="111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92"/>
      <c r="P22" s="171"/>
      <c r="Q22" s="292"/>
      <c r="R22" s="292"/>
      <c r="S22" s="26">
        <f t="shared" si="2"/>
      </c>
      <c r="T22" s="26">
        <f t="shared" si="3"/>
      </c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ht="15.75" customHeight="1">
      <c r="A23" s="111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92"/>
      <c r="P23" s="171"/>
      <c r="Q23" s="292"/>
      <c r="R23" s="292"/>
      <c r="S23" s="26">
        <f t="shared" si="2"/>
      </c>
      <c r="T23" s="26">
        <f t="shared" si="3"/>
      </c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15.75" customHeight="1">
      <c r="A24" s="111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92"/>
      <c r="P24" s="171"/>
      <c r="Q24" s="292"/>
      <c r="R24" s="292"/>
      <c r="S24" s="26">
        <f t="shared" si="2"/>
      </c>
      <c r="T24" s="26">
        <f t="shared" si="3"/>
      </c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15.75" customHeight="1">
      <c r="A25" s="111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92"/>
      <c r="P25" s="171"/>
      <c r="Q25" s="292"/>
      <c r="R25" s="292"/>
      <c r="S25" s="26">
        <f t="shared" si="2"/>
      </c>
      <c r="T25" s="26">
        <f t="shared" si="3"/>
      </c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5.75" customHeight="1">
      <c r="A26" s="111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92"/>
      <c r="P26" s="171"/>
      <c r="Q26" s="292"/>
      <c r="R26" s="292"/>
      <c r="S26" s="26">
        <f t="shared" si="2"/>
      </c>
      <c r="T26" s="26">
        <f t="shared" si="3"/>
      </c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5.75" customHeight="1">
      <c r="A27" s="111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92"/>
      <c r="P27" s="171"/>
      <c r="Q27" s="292"/>
      <c r="R27" s="292"/>
      <c r="S27" s="26">
        <f t="shared" si="2"/>
      </c>
      <c r="T27" s="26">
        <f t="shared" si="3"/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15.75" customHeight="1">
      <c r="A28" s="111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92"/>
      <c r="P28" s="171"/>
      <c r="Q28" s="292"/>
      <c r="R28" s="292"/>
      <c r="S28" s="26">
        <f t="shared" si="2"/>
      </c>
      <c r="T28" s="26">
        <f t="shared" si="3"/>
      </c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15.75" customHeight="1">
      <c r="A29" s="111"/>
      <c r="B29" s="284"/>
      <c r="C29" s="284"/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O29" s="292"/>
      <c r="P29" s="171"/>
      <c r="Q29" s="292"/>
      <c r="R29" s="292"/>
      <c r="S29" s="26">
        <f t="shared" si="2"/>
      </c>
      <c r="T29" s="26">
        <f t="shared" si="3"/>
      </c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15.75" customHeight="1">
      <c r="A30" s="111"/>
      <c r="B30" s="284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O30" s="292"/>
      <c r="P30" s="171"/>
      <c r="Q30" s="292"/>
      <c r="R30" s="292"/>
      <c r="S30" s="26">
        <f t="shared" si="2"/>
      </c>
      <c r="T30" s="26">
        <f t="shared" si="3"/>
      </c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ht="15.75" customHeight="1">
      <c r="A31" s="111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92"/>
      <c r="P31" s="171"/>
      <c r="Q31" s="292"/>
      <c r="R31" s="292"/>
      <c r="S31" s="26">
        <f t="shared" si="2"/>
      </c>
      <c r="T31" s="26">
        <f t="shared" si="3"/>
      </c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ht="15.75" customHeight="1">
      <c r="A32" s="111"/>
      <c r="B32" s="284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O32" s="292"/>
      <c r="P32" s="171"/>
      <c r="Q32" s="292"/>
      <c r="R32" s="292"/>
      <c r="S32" s="26">
        <f t="shared" si="2"/>
      </c>
      <c r="T32" s="26">
        <f t="shared" si="3"/>
      </c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15.75" customHeight="1">
      <c r="A33" s="111"/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O33" s="292"/>
      <c r="P33" s="171"/>
      <c r="Q33" s="292"/>
      <c r="R33" s="292"/>
      <c r="S33" s="26">
        <f t="shared" si="2"/>
      </c>
      <c r="T33" s="26">
        <f t="shared" si="3"/>
      </c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6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22"/>
      <c r="T34" s="122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4.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22"/>
      <c r="T35" s="122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4.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22"/>
      <c r="T36" s="122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ht="6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6.75" customHeight="1" thickBo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3.5" thickBot="1">
      <c r="A39" s="111"/>
      <c r="B39" s="235" t="s">
        <v>88</v>
      </c>
      <c r="C39" s="112"/>
      <c r="D39" s="112"/>
      <c r="E39" s="236">
        <f>IF(COUNTIF(E5:E33,"&gt;40"),"Hiba","")</f>
      </c>
      <c r="F39" s="236">
        <f aca="true" t="shared" si="4" ref="F39:M39">IF(COUNTIF(F5:F33,"&gt;40"),"Hiba","")</f>
      </c>
      <c r="G39" s="236">
        <f t="shared" si="4"/>
      </c>
      <c r="H39" s="236">
        <f t="shared" si="4"/>
      </c>
      <c r="I39" s="236">
        <f t="shared" si="4"/>
      </c>
      <c r="J39" s="236">
        <f t="shared" si="4"/>
      </c>
      <c r="K39" s="236">
        <f t="shared" si="4"/>
      </c>
      <c r="L39" s="236">
        <f t="shared" si="4"/>
      </c>
      <c r="M39" s="236">
        <f t="shared" si="4"/>
      </c>
      <c r="N39" s="112"/>
      <c r="O39" s="112"/>
      <c r="P39" s="112"/>
      <c r="Q39" s="112"/>
      <c r="R39" s="112"/>
      <c r="S39" s="112"/>
      <c r="T39" s="112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13.5" thickBo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13.5" thickBot="1">
      <c r="A41" s="111"/>
      <c r="B41" s="235" t="s">
        <v>88</v>
      </c>
      <c r="C41" s="112"/>
      <c r="D41" s="112"/>
      <c r="E41" s="236">
        <f>IF(Kd_r_sors!F2=COUNT(E5:E33),"","!!!!")</f>
      </c>
      <c r="F41" s="236" t="str">
        <f>IF(Rajtlista!G2=COUNT(F5:F33),"","!!!!")</f>
        <v>!!!!</v>
      </c>
      <c r="G41" s="236">
        <f>IF(Kd_r_sors!F2=COUNT(G5:G33),"","!!!!")</f>
      </c>
      <c r="H41" s="236">
        <f>IF(Rajtlista!I2=COUNT(H5:H33),"","!!!!")</f>
      </c>
      <c r="I41" s="236">
        <f>IF(Kd_r_sors!F2=COUNT(I5:I33),"","!!!!")</f>
      </c>
      <c r="J41" s="236">
        <f>IF(Rajtlista!K2=COUNT(J5:J33),"","!!!!")</f>
      </c>
      <c r="K41" s="236">
        <f>IF(Kd_r_sors!F2=COUNT(K5:K33),"","!!!!")</f>
      </c>
      <c r="L41" s="236">
        <f>IF(Rajtlista!M2=COUNT(L5:L33),"","!!!!")</f>
      </c>
      <c r="M41" s="236">
        <f>IF(Kd_r_sors!F2=COUNT(M5:M33),"","!!!!")</f>
      </c>
      <c r="N41" s="112"/>
      <c r="O41" s="112"/>
      <c r="P41" s="112"/>
      <c r="Q41" s="112"/>
      <c r="R41" s="112"/>
      <c r="S41" s="112"/>
      <c r="T41" s="112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ht="12.7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ht="12.7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ht="12.7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ht="12.7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ht="12.7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ht="12.7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Y40"/>
  <sheetViews>
    <sheetView zoomScalePageLayoutView="0" workbookViewId="0" topLeftCell="A1">
      <selection activeCell="T26" sqref="T26"/>
    </sheetView>
  </sheetViews>
  <sheetFormatPr defaultColWidth="9.140625" defaultRowHeight="12.75"/>
  <cols>
    <col min="1" max="1" width="7.8515625" style="20" customWidth="1"/>
    <col min="2" max="2" width="4.7109375" style="20" customWidth="1"/>
    <col min="3" max="3" width="1.7109375" style="3" customWidth="1"/>
    <col min="4" max="4" width="4.7109375" style="20" customWidth="1"/>
    <col min="5" max="5" width="1.7109375" style="3" customWidth="1"/>
    <col min="6" max="6" width="4.7109375" style="20" customWidth="1"/>
    <col min="7" max="7" width="1.7109375" style="3" customWidth="1"/>
    <col min="8" max="8" width="4.7109375" style="20" customWidth="1"/>
    <col min="9" max="9" width="1.7109375" style="3" customWidth="1"/>
    <col min="10" max="10" width="4.7109375" style="20" customWidth="1"/>
    <col min="11" max="11" width="1.7109375" style="3" customWidth="1"/>
    <col min="12" max="12" width="5.57421875" style="24" customWidth="1"/>
    <col min="13" max="13" width="8.57421875" style="24" customWidth="1"/>
    <col min="14" max="14" width="4.8515625" style="20" hidden="1" customWidth="1"/>
    <col min="15" max="15" width="4.7109375" style="20" hidden="1" customWidth="1"/>
    <col min="16" max="16" width="8.28125" style="20" customWidth="1"/>
    <col min="17" max="17" width="37.8515625" style="33" customWidth="1"/>
    <col min="18" max="18" width="25.28125" style="31" customWidth="1"/>
    <col min="19" max="19" width="2.57421875" style="20" hidden="1" customWidth="1"/>
    <col min="20" max="20" width="21.421875" style="20" customWidth="1"/>
    <col min="21" max="21" width="9.140625" style="20" hidden="1" customWidth="1"/>
    <col min="22" max="16384" width="9.140625" style="20" customWidth="1"/>
  </cols>
  <sheetData>
    <row r="1" spans="1:25" ht="30" thickBot="1">
      <c r="A1" s="142"/>
      <c r="B1" s="138"/>
      <c r="C1" s="159"/>
      <c r="D1" s="138"/>
      <c r="E1" s="159"/>
      <c r="F1" s="144" t="s">
        <v>68</v>
      </c>
      <c r="G1" s="159"/>
      <c r="H1" s="143"/>
      <c r="I1" s="159"/>
      <c r="J1" s="143"/>
      <c r="K1" s="159"/>
      <c r="L1" s="139"/>
      <c r="M1" s="139"/>
      <c r="N1" s="138"/>
      <c r="O1" s="138"/>
      <c r="P1" s="138"/>
      <c r="Q1" s="140"/>
      <c r="R1" s="201">
        <f ca="1">NOW()</f>
        <v>42105.80206805556</v>
      </c>
      <c r="T1" s="234" t="s">
        <v>88</v>
      </c>
      <c r="U1" s="111"/>
      <c r="V1" s="111"/>
      <c r="W1" s="111"/>
      <c r="X1" s="111"/>
      <c r="Y1" s="111"/>
    </row>
    <row r="2" spans="1:25" ht="16.5" customHeight="1" thickBot="1">
      <c r="A2" s="202" t="s">
        <v>23</v>
      </c>
      <c r="B2" s="203"/>
      <c r="C2" s="204"/>
      <c r="D2" s="203" t="str">
        <f>Rajtlista!E1</f>
        <v>Boogie - Woogie</v>
      </c>
      <c r="E2" s="204"/>
      <c r="F2" s="203"/>
      <c r="G2" s="204"/>
      <c r="H2" s="205"/>
      <c r="I2" s="206"/>
      <c r="J2" s="202" t="s">
        <v>14</v>
      </c>
      <c r="K2" s="204"/>
      <c r="L2" s="207"/>
      <c r="M2" s="207"/>
      <c r="N2" s="152"/>
      <c r="O2" s="151"/>
      <c r="P2" s="208">
        <v>0</v>
      </c>
      <c r="Q2" s="227"/>
      <c r="R2" s="228"/>
      <c r="S2" s="111">
        <f>Dont_sors!F2</f>
        <v>5</v>
      </c>
      <c r="T2" s="111"/>
      <c r="U2" s="111"/>
      <c r="V2" s="111"/>
      <c r="W2" s="111"/>
      <c r="X2" s="111"/>
      <c r="Y2" s="111"/>
    </row>
    <row r="3" spans="1:25" ht="16.5" thickBot="1">
      <c r="A3" s="111"/>
      <c r="B3" s="111"/>
      <c r="C3" s="206"/>
      <c r="D3" s="111"/>
      <c r="E3" s="206"/>
      <c r="F3" s="111"/>
      <c r="G3" s="206"/>
      <c r="H3" s="111"/>
      <c r="I3" s="206"/>
      <c r="J3" s="111"/>
      <c r="K3" s="206"/>
      <c r="L3" s="112"/>
      <c r="M3" s="112"/>
      <c r="N3" s="111"/>
      <c r="O3" s="111"/>
      <c r="P3" s="111"/>
      <c r="Q3" s="227"/>
      <c r="R3" s="228"/>
      <c r="S3" s="111"/>
      <c r="T3" s="111"/>
      <c r="U3" s="111"/>
      <c r="V3" s="111"/>
      <c r="W3" s="111"/>
      <c r="X3" s="111"/>
      <c r="Y3" s="111"/>
    </row>
    <row r="4" spans="1:25" ht="16.5" thickBot="1">
      <c r="A4" s="269" t="s">
        <v>0</v>
      </c>
      <c r="B4" s="270" t="s">
        <v>8</v>
      </c>
      <c r="C4" s="271"/>
      <c r="D4" s="270" t="s">
        <v>9</v>
      </c>
      <c r="E4" s="271"/>
      <c r="F4" s="269" t="s">
        <v>10</v>
      </c>
      <c r="G4" s="272"/>
      <c r="H4" s="273" t="s">
        <v>11</v>
      </c>
      <c r="I4" s="272"/>
      <c r="J4" s="273" t="s">
        <v>12</v>
      </c>
      <c r="K4" s="272"/>
      <c r="L4" s="274" t="s">
        <v>19</v>
      </c>
      <c r="M4" s="270" t="s">
        <v>24</v>
      </c>
      <c r="N4" s="275" t="s">
        <v>17</v>
      </c>
      <c r="O4" s="276" t="s">
        <v>18</v>
      </c>
      <c r="P4" s="269" t="s">
        <v>0</v>
      </c>
      <c r="Q4" s="272" t="s">
        <v>1</v>
      </c>
      <c r="R4" s="270" t="s">
        <v>2</v>
      </c>
      <c r="T4" s="111"/>
      <c r="U4" s="111" t="s">
        <v>87</v>
      </c>
      <c r="V4" s="111"/>
      <c r="W4" s="111"/>
      <c r="X4" s="111"/>
      <c r="Y4" s="111"/>
    </row>
    <row r="5" spans="1:25" ht="15.7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279"/>
      <c r="P5" s="280"/>
      <c r="Q5" s="281"/>
      <c r="R5" s="282"/>
      <c r="T5" s="216">
        <f>IF(M5&lt;&gt;"",(IF(OR(M5=M4,M5=M6,M5=M7),"Azonos pont !","")),"")</f>
      </c>
      <c r="U5" s="111">
        <f aca="true" t="shared" si="0" ref="U5:U13">SUM(B5,D5,F5,H5,J5)</f>
        <v>0</v>
      </c>
      <c r="V5" s="111"/>
      <c r="W5" s="111"/>
      <c r="X5" s="111"/>
      <c r="Y5" s="111"/>
    </row>
    <row r="6" spans="1:25" ht="15.75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186"/>
      <c r="Q6" s="187"/>
      <c r="R6" s="188"/>
      <c r="T6" s="216">
        <f>IF(M6&lt;&gt;"",(IF(OR(M6=M5,M6=M7,M6=M8),"Azonos pont !","")),"")</f>
      </c>
      <c r="U6" s="111">
        <f t="shared" si="0"/>
        <v>0</v>
      </c>
      <c r="V6" s="111"/>
      <c r="W6" s="111"/>
      <c r="X6" s="111"/>
      <c r="Y6" s="111"/>
    </row>
    <row r="7" spans="1:25" ht="15.75">
      <c r="A7" s="186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/>
      <c r="O7" s="285"/>
      <c r="P7" s="186"/>
      <c r="Q7" s="187"/>
      <c r="R7" s="187"/>
      <c r="T7" s="216">
        <f>IF(M7&lt;&gt;"",(IF(OR(M7=M6,M7=M8,M7=M9),"Azonos pont !","")),"")</f>
      </c>
      <c r="U7" s="111">
        <f t="shared" si="0"/>
        <v>0</v>
      </c>
      <c r="V7" s="111"/>
      <c r="W7" s="111"/>
      <c r="X7" s="111"/>
      <c r="Y7" s="111"/>
    </row>
    <row r="8" spans="1:25" ht="15.75">
      <c r="A8" s="186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5"/>
      <c r="O8" s="285"/>
      <c r="P8" s="186"/>
      <c r="Q8" s="187"/>
      <c r="R8" s="187"/>
      <c r="T8" s="216">
        <f>IF(M8&lt;&gt;"",(IF(OR(M8=M7,M8=M9,M8=M10),"Azonos pont !","")),"")</f>
      </c>
      <c r="U8" s="111">
        <f t="shared" si="0"/>
        <v>0</v>
      </c>
      <c r="V8" s="111"/>
      <c r="W8" s="111"/>
      <c r="X8" s="111"/>
      <c r="Y8" s="111"/>
    </row>
    <row r="9" spans="1:25" ht="15.75">
      <c r="A9" s="1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285"/>
      <c r="P9" s="186"/>
      <c r="Q9" s="187"/>
      <c r="R9" s="187"/>
      <c r="T9" s="216">
        <f aca="true" t="shared" si="1" ref="T9:T33">IF(M9&lt;&gt;"",(IF(OR(M9=M8,M9=M10,M9=M11),"Azonos pont !","")),"")</f>
      </c>
      <c r="U9" s="111">
        <f t="shared" si="0"/>
        <v>0</v>
      </c>
      <c r="V9" s="111"/>
      <c r="W9" s="111"/>
      <c r="X9" s="111"/>
      <c r="Y9" s="111"/>
    </row>
    <row r="10" spans="1:25" ht="15.75">
      <c r="A10" s="186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85"/>
      <c r="P10" s="186"/>
      <c r="Q10" s="187"/>
      <c r="R10" s="187"/>
      <c r="T10" s="216">
        <f t="shared" si="1"/>
      </c>
      <c r="U10" s="111">
        <f t="shared" si="0"/>
        <v>0</v>
      </c>
      <c r="V10" s="111"/>
      <c r="W10" s="111"/>
      <c r="X10" s="111"/>
      <c r="Y10" s="111"/>
    </row>
    <row r="11" spans="1:25" ht="15.75">
      <c r="A11" s="186"/>
      <c r="B11" s="284"/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5"/>
      <c r="O11" s="285"/>
      <c r="P11" s="186"/>
      <c r="Q11" s="187"/>
      <c r="R11" s="187"/>
      <c r="T11" s="216">
        <f t="shared" si="1"/>
      </c>
      <c r="U11" s="111">
        <f t="shared" si="0"/>
        <v>0</v>
      </c>
      <c r="V11" s="111"/>
      <c r="W11" s="111"/>
      <c r="X11" s="111"/>
      <c r="Y11" s="111"/>
    </row>
    <row r="12" spans="1:25" ht="15.75" customHeight="1">
      <c r="A12" s="186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5"/>
      <c r="O12" s="285"/>
      <c r="P12" s="186"/>
      <c r="Q12" s="187"/>
      <c r="R12" s="187"/>
      <c r="T12" s="216">
        <f t="shared" si="1"/>
      </c>
      <c r="U12" s="111">
        <f t="shared" si="0"/>
        <v>0</v>
      </c>
      <c r="V12" s="111"/>
      <c r="W12" s="111"/>
      <c r="X12" s="111"/>
      <c r="Y12" s="111"/>
    </row>
    <row r="13" spans="1:25" ht="15.75" customHeight="1">
      <c r="A13" s="186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5"/>
      <c r="O13" s="285"/>
      <c r="P13" s="186"/>
      <c r="Q13" s="187"/>
      <c r="R13" s="187"/>
      <c r="T13" s="216">
        <f t="shared" si="1"/>
      </c>
      <c r="U13" s="111">
        <f t="shared" si="0"/>
        <v>0</v>
      </c>
      <c r="V13" s="111"/>
      <c r="W13" s="111"/>
      <c r="X13" s="111"/>
      <c r="Y13" s="111"/>
    </row>
    <row r="14" spans="1:25" ht="15.75" customHeight="1">
      <c r="A14" s="186"/>
      <c r="B14" s="284"/>
      <c r="C14" s="186"/>
      <c r="D14" s="284"/>
      <c r="E14" s="186"/>
      <c r="F14" s="284"/>
      <c r="G14" s="186"/>
      <c r="H14" s="284"/>
      <c r="I14" s="186"/>
      <c r="J14" s="284"/>
      <c r="K14" s="186"/>
      <c r="L14" s="284"/>
      <c r="M14" s="284"/>
      <c r="N14" s="285"/>
      <c r="O14" s="285"/>
      <c r="P14" s="186"/>
      <c r="Q14" s="187"/>
      <c r="R14" s="187"/>
      <c r="T14" s="216">
        <f t="shared" si="1"/>
      </c>
      <c r="U14" s="111">
        <f aca="true" t="shared" si="2" ref="U14:U33">SUM(B14,D14,F14,H14,J14)</f>
        <v>0</v>
      </c>
      <c r="V14" s="111"/>
      <c r="W14" s="111"/>
      <c r="X14" s="111"/>
      <c r="Y14" s="111"/>
    </row>
    <row r="15" spans="1:25" ht="15.75" customHeight="1">
      <c r="A15" s="285"/>
      <c r="B15" s="285"/>
      <c r="C15" s="187"/>
      <c r="D15" s="285"/>
      <c r="E15" s="187"/>
      <c r="F15" s="285"/>
      <c r="G15" s="187"/>
      <c r="H15" s="285"/>
      <c r="I15" s="187"/>
      <c r="J15" s="285"/>
      <c r="K15" s="187"/>
      <c r="L15" s="284"/>
      <c r="M15" s="284"/>
      <c r="N15" s="285"/>
      <c r="O15" s="285"/>
      <c r="P15" s="285"/>
      <c r="Q15" s="287"/>
      <c r="R15" s="288"/>
      <c r="T15" s="216">
        <f t="shared" si="1"/>
      </c>
      <c r="U15" s="111">
        <f t="shared" si="2"/>
        <v>0</v>
      </c>
      <c r="V15" s="111"/>
      <c r="W15" s="111"/>
      <c r="X15" s="111"/>
      <c r="Y15" s="111"/>
    </row>
    <row r="16" spans="1:25" ht="15.75" customHeight="1">
      <c r="A16" s="285"/>
      <c r="B16" s="285"/>
      <c r="C16" s="187"/>
      <c r="D16" s="285"/>
      <c r="E16" s="187"/>
      <c r="F16" s="285"/>
      <c r="G16" s="187"/>
      <c r="H16" s="285"/>
      <c r="I16" s="187"/>
      <c r="J16" s="285"/>
      <c r="K16" s="187"/>
      <c r="L16" s="284"/>
      <c r="M16" s="284"/>
      <c r="N16" s="285"/>
      <c r="O16" s="285"/>
      <c r="P16" s="285"/>
      <c r="Q16" s="287"/>
      <c r="R16" s="288"/>
      <c r="T16" s="216">
        <f t="shared" si="1"/>
      </c>
      <c r="U16" s="111">
        <f t="shared" si="2"/>
        <v>0</v>
      </c>
      <c r="V16" s="111"/>
      <c r="W16" s="111"/>
      <c r="X16" s="111"/>
      <c r="Y16" s="111"/>
    </row>
    <row r="17" spans="1:25" ht="15.75" customHeight="1">
      <c r="A17" s="285"/>
      <c r="B17" s="285"/>
      <c r="C17" s="187"/>
      <c r="D17" s="285"/>
      <c r="E17" s="187"/>
      <c r="F17" s="285"/>
      <c r="G17" s="187"/>
      <c r="H17" s="285"/>
      <c r="I17" s="187"/>
      <c r="J17" s="285"/>
      <c r="K17" s="187"/>
      <c r="L17" s="284"/>
      <c r="M17" s="284"/>
      <c r="N17" s="285"/>
      <c r="O17" s="285"/>
      <c r="P17" s="285"/>
      <c r="Q17" s="287"/>
      <c r="R17" s="288"/>
      <c r="T17" s="216">
        <f t="shared" si="1"/>
      </c>
      <c r="U17" s="111">
        <f t="shared" si="2"/>
        <v>0</v>
      </c>
      <c r="V17" s="111"/>
      <c r="W17" s="111"/>
      <c r="X17" s="111"/>
      <c r="Y17" s="111"/>
    </row>
    <row r="18" spans="1:25" ht="15.75" customHeight="1">
      <c r="A18" s="285"/>
      <c r="B18" s="285"/>
      <c r="C18" s="187"/>
      <c r="D18" s="285"/>
      <c r="E18" s="187"/>
      <c r="F18" s="285"/>
      <c r="G18" s="187"/>
      <c r="H18" s="285"/>
      <c r="I18" s="187"/>
      <c r="J18" s="285"/>
      <c r="K18" s="187"/>
      <c r="L18" s="284"/>
      <c r="M18" s="284"/>
      <c r="N18" s="285"/>
      <c r="O18" s="285"/>
      <c r="P18" s="285"/>
      <c r="Q18" s="287"/>
      <c r="R18" s="288"/>
      <c r="T18" s="216">
        <f t="shared" si="1"/>
      </c>
      <c r="U18" s="111">
        <f t="shared" si="2"/>
        <v>0</v>
      </c>
      <c r="V18" s="111"/>
      <c r="W18" s="111"/>
      <c r="X18" s="111"/>
      <c r="Y18" s="111"/>
    </row>
    <row r="19" spans="1:25" ht="15.75" customHeight="1">
      <c r="A19" s="285"/>
      <c r="B19" s="285"/>
      <c r="C19" s="187"/>
      <c r="D19" s="285"/>
      <c r="E19" s="187"/>
      <c r="F19" s="285"/>
      <c r="G19" s="187"/>
      <c r="H19" s="285"/>
      <c r="I19" s="187"/>
      <c r="J19" s="285"/>
      <c r="K19" s="187"/>
      <c r="L19" s="284"/>
      <c r="M19" s="284"/>
      <c r="N19" s="285"/>
      <c r="O19" s="285"/>
      <c r="P19" s="285"/>
      <c r="Q19" s="287"/>
      <c r="R19" s="288"/>
      <c r="T19" s="216">
        <f t="shared" si="1"/>
      </c>
      <c r="U19" s="111">
        <f t="shared" si="2"/>
        <v>0</v>
      </c>
      <c r="V19" s="111"/>
      <c r="W19" s="111"/>
      <c r="X19" s="111"/>
      <c r="Y19" s="111"/>
    </row>
    <row r="20" spans="1:25" ht="15.75" customHeight="1">
      <c r="A20" s="285"/>
      <c r="B20" s="285"/>
      <c r="C20" s="187"/>
      <c r="D20" s="285"/>
      <c r="E20" s="187"/>
      <c r="F20" s="285"/>
      <c r="G20" s="187"/>
      <c r="H20" s="285"/>
      <c r="I20" s="187"/>
      <c r="J20" s="285"/>
      <c r="K20" s="187"/>
      <c r="L20" s="284"/>
      <c r="M20" s="284"/>
      <c r="N20" s="285"/>
      <c r="O20" s="285"/>
      <c r="P20" s="285"/>
      <c r="Q20" s="287"/>
      <c r="R20" s="288"/>
      <c r="T20" s="216">
        <f t="shared" si="1"/>
      </c>
      <c r="U20" s="111">
        <f t="shared" si="2"/>
        <v>0</v>
      </c>
      <c r="V20" s="111"/>
      <c r="W20" s="111"/>
      <c r="X20" s="111"/>
      <c r="Y20" s="111"/>
    </row>
    <row r="21" spans="1:25" ht="15.75" customHeight="1">
      <c r="A21" s="285"/>
      <c r="B21" s="285"/>
      <c r="C21" s="187"/>
      <c r="D21" s="285"/>
      <c r="E21" s="187"/>
      <c r="F21" s="285"/>
      <c r="G21" s="187"/>
      <c r="H21" s="285"/>
      <c r="I21" s="187"/>
      <c r="J21" s="285"/>
      <c r="K21" s="187"/>
      <c r="L21" s="284"/>
      <c r="M21" s="284"/>
      <c r="N21" s="285"/>
      <c r="O21" s="285"/>
      <c r="P21" s="285"/>
      <c r="Q21" s="287"/>
      <c r="R21" s="288"/>
      <c r="T21" s="216">
        <f t="shared" si="1"/>
      </c>
      <c r="U21" s="111">
        <f t="shared" si="2"/>
        <v>0</v>
      </c>
      <c r="V21" s="111"/>
      <c r="W21" s="111"/>
      <c r="X21" s="111"/>
      <c r="Y21" s="111"/>
    </row>
    <row r="22" spans="1:25" ht="15.75" customHeight="1">
      <c r="A22" s="285"/>
      <c r="B22" s="285"/>
      <c r="C22" s="187"/>
      <c r="D22" s="285"/>
      <c r="E22" s="187"/>
      <c r="F22" s="285"/>
      <c r="G22" s="187"/>
      <c r="H22" s="285"/>
      <c r="I22" s="187"/>
      <c r="J22" s="285"/>
      <c r="K22" s="187"/>
      <c r="L22" s="284"/>
      <c r="M22" s="284"/>
      <c r="N22" s="285"/>
      <c r="O22" s="285"/>
      <c r="P22" s="285"/>
      <c r="Q22" s="287"/>
      <c r="R22" s="288"/>
      <c r="T22" s="216">
        <f t="shared" si="1"/>
      </c>
      <c r="U22" s="111">
        <f t="shared" si="2"/>
        <v>0</v>
      </c>
      <c r="V22" s="111"/>
      <c r="W22" s="111"/>
      <c r="X22" s="111"/>
      <c r="Y22" s="111"/>
    </row>
    <row r="23" spans="1:25" ht="15.75" customHeight="1">
      <c r="A23" s="285"/>
      <c r="B23" s="285"/>
      <c r="C23" s="187"/>
      <c r="D23" s="285"/>
      <c r="E23" s="187"/>
      <c r="F23" s="285"/>
      <c r="G23" s="187"/>
      <c r="H23" s="285"/>
      <c r="I23" s="187"/>
      <c r="J23" s="285"/>
      <c r="K23" s="187"/>
      <c r="L23" s="284"/>
      <c r="M23" s="284"/>
      <c r="N23" s="285"/>
      <c r="O23" s="285"/>
      <c r="P23" s="285"/>
      <c r="Q23" s="287"/>
      <c r="R23" s="288"/>
      <c r="T23" s="216">
        <f t="shared" si="1"/>
      </c>
      <c r="U23" s="111">
        <f t="shared" si="2"/>
        <v>0</v>
      </c>
      <c r="V23" s="111"/>
      <c r="W23" s="111"/>
      <c r="X23" s="111"/>
      <c r="Y23" s="111"/>
    </row>
    <row r="24" spans="1:25" ht="15.75" customHeight="1">
      <c r="A24" s="285"/>
      <c r="B24" s="285"/>
      <c r="C24" s="187"/>
      <c r="D24" s="285"/>
      <c r="E24" s="187"/>
      <c r="F24" s="285"/>
      <c r="G24" s="187"/>
      <c r="H24" s="285"/>
      <c r="I24" s="187"/>
      <c r="J24" s="285"/>
      <c r="K24" s="187"/>
      <c r="L24" s="284"/>
      <c r="M24" s="284"/>
      <c r="N24" s="285"/>
      <c r="O24" s="285"/>
      <c r="P24" s="285"/>
      <c r="Q24" s="287"/>
      <c r="R24" s="288"/>
      <c r="T24" s="216">
        <f t="shared" si="1"/>
      </c>
      <c r="U24" s="111">
        <f t="shared" si="2"/>
        <v>0</v>
      </c>
      <c r="V24" s="111"/>
      <c r="W24" s="111"/>
      <c r="X24" s="111"/>
      <c r="Y24" s="111"/>
    </row>
    <row r="25" spans="1:25" ht="15.75" customHeight="1">
      <c r="A25" s="285"/>
      <c r="B25" s="285"/>
      <c r="C25" s="187"/>
      <c r="D25" s="285"/>
      <c r="E25" s="187"/>
      <c r="F25" s="285"/>
      <c r="G25" s="187"/>
      <c r="H25" s="285"/>
      <c r="I25" s="187"/>
      <c r="J25" s="285"/>
      <c r="K25" s="187"/>
      <c r="L25" s="284"/>
      <c r="M25" s="284"/>
      <c r="N25" s="285"/>
      <c r="O25" s="285"/>
      <c r="P25" s="285"/>
      <c r="Q25" s="287"/>
      <c r="R25" s="288"/>
      <c r="T25" s="216">
        <f t="shared" si="1"/>
      </c>
      <c r="U25" s="111">
        <f t="shared" si="2"/>
        <v>0</v>
      </c>
      <c r="V25" s="111"/>
      <c r="W25" s="111"/>
      <c r="X25" s="111"/>
      <c r="Y25" s="111"/>
    </row>
    <row r="26" spans="1:25" ht="15.75" customHeight="1">
      <c r="A26" s="285"/>
      <c r="B26" s="285"/>
      <c r="C26" s="187"/>
      <c r="D26" s="285"/>
      <c r="E26" s="187"/>
      <c r="F26" s="285"/>
      <c r="G26" s="187"/>
      <c r="H26" s="285"/>
      <c r="I26" s="187"/>
      <c r="J26" s="285"/>
      <c r="K26" s="187"/>
      <c r="L26" s="284"/>
      <c r="M26" s="284"/>
      <c r="N26" s="285"/>
      <c r="O26" s="285"/>
      <c r="P26" s="285"/>
      <c r="Q26" s="287"/>
      <c r="R26" s="288"/>
      <c r="T26" s="216">
        <f t="shared" si="1"/>
      </c>
      <c r="U26" s="111">
        <f t="shared" si="2"/>
        <v>0</v>
      </c>
      <c r="V26" s="111"/>
      <c r="W26" s="111"/>
      <c r="X26" s="111"/>
      <c r="Y26" s="111"/>
    </row>
    <row r="27" spans="1:25" ht="15.75" customHeight="1">
      <c r="A27" s="285"/>
      <c r="B27" s="285"/>
      <c r="C27" s="187"/>
      <c r="D27" s="285"/>
      <c r="E27" s="187"/>
      <c r="F27" s="285"/>
      <c r="G27" s="187"/>
      <c r="H27" s="285"/>
      <c r="I27" s="187"/>
      <c r="J27" s="285"/>
      <c r="K27" s="187"/>
      <c r="L27" s="284"/>
      <c r="M27" s="284"/>
      <c r="N27" s="285"/>
      <c r="O27" s="285"/>
      <c r="P27" s="285"/>
      <c r="Q27" s="287"/>
      <c r="R27" s="288"/>
      <c r="T27" s="216">
        <f t="shared" si="1"/>
      </c>
      <c r="U27" s="111">
        <f t="shared" si="2"/>
        <v>0</v>
      </c>
      <c r="V27" s="111"/>
      <c r="W27" s="111"/>
      <c r="X27" s="111"/>
      <c r="Y27" s="111"/>
    </row>
    <row r="28" spans="1:25" ht="15.75" customHeight="1">
      <c r="A28" s="285"/>
      <c r="B28" s="285"/>
      <c r="C28" s="187"/>
      <c r="D28" s="285"/>
      <c r="E28" s="187"/>
      <c r="F28" s="285"/>
      <c r="G28" s="187"/>
      <c r="H28" s="285"/>
      <c r="I28" s="187"/>
      <c r="J28" s="285"/>
      <c r="K28" s="187"/>
      <c r="L28" s="284"/>
      <c r="M28" s="284"/>
      <c r="N28" s="285"/>
      <c r="O28" s="285"/>
      <c r="P28" s="285"/>
      <c r="Q28" s="287"/>
      <c r="R28" s="288"/>
      <c r="T28" s="216">
        <f t="shared" si="1"/>
      </c>
      <c r="U28" s="111">
        <f t="shared" si="2"/>
        <v>0</v>
      </c>
      <c r="V28" s="111"/>
      <c r="W28" s="111"/>
      <c r="X28" s="111"/>
      <c r="Y28" s="111"/>
    </row>
    <row r="29" spans="1:25" ht="15.75" customHeight="1">
      <c r="A29" s="285"/>
      <c r="B29" s="285"/>
      <c r="C29" s="187"/>
      <c r="D29" s="285"/>
      <c r="E29" s="187"/>
      <c r="F29" s="285"/>
      <c r="G29" s="187"/>
      <c r="H29" s="285"/>
      <c r="I29" s="187"/>
      <c r="J29" s="285"/>
      <c r="K29" s="187"/>
      <c r="L29" s="284"/>
      <c r="M29" s="284"/>
      <c r="N29" s="285"/>
      <c r="O29" s="285"/>
      <c r="P29" s="285"/>
      <c r="Q29" s="287"/>
      <c r="R29" s="288"/>
      <c r="T29" s="216">
        <f t="shared" si="1"/>
      </c>
      <c r="U29" s="111">
        <f t="shared" si="2"/>
        <v>0</v>
      </c>
      <c r="V29" s="111"/>
      <c r="W29" s="111"/>
      <c r="X29" s="111"/>
      <c r="Y29" s="111"/>
    </row>
    <row r="30" spans="1:25" ht="15.75" customHeight="1">
      <c r="A30" s="285"/>
      <c r="B30" s="285"/>
      <c r="C30" s="187"/>
      <c r="D30" s="285"/>
      <c r="E30" s="187"/>
      <c r="F30" s="285"/>
      <c r="G30" s="187"/>
      <c r="H30" s="285"/>
      <c r="I30" s="187"/>
      <c r="J30" s="285"/>
      <c r="K30" s="187"/>
      <c r="L30" s="284"/>
      <c r="M30" s="284"/>
      <c r="N30" s="285"/>
      <c r="O30" s="285"/>
      <c r="P30" s="285"/>
      <c r="Q30" s="287"/>
      <c r="R30" s="288"/>
      <c r="T30" s="216">
        <f t="shared" si="1"/>
      </c>
      <c r="U30" s="111">
        <f t="shared" si="2"/>
        <v>0</v>
      </c>
      <c r="V30" s="111"/>
      <c r="W30" s="111"/>
      <c r="X30" s="111"/>
      <c r="Y30" s="111"/>
    </row>
    <row r="31" spans="1:25" ht="15.75" customHeight="1">
      <c r="A31" s="285"/>
      <c r="B31" s="285"/>
      <c r="C31" s="187"/>
      <c r="D31" s="285"/>
      <c r="E31" s="187"/>
      <c r="F31" s="285"/>
      <c r="G31" s="187"/>
      <c r="H31" s="285"/>
      <c r="I31" s="187"/>
      <c r="J31" s="285"/>
      <c r="K31" s="187"/>
      <c r="L31" s="284"/>
      <c r="M31" s="284"/>
      <c r="N31" s="285"/>
      <c r="O31" s="285"/>
      <c r="P31" s="285"/>
      <c r="Q31" s="287"/>
      <c r="R31" s="288"/>
      <c r="T31" s="216">
        <f t="shared" si="1"/>
      </c>
      <c r="U31" s="111">
        <f t="shared" si="2"/>
        <v>0</v>
      </c>
      <c r="V31" s="111"/>
      <c r="W31" s="111"/>
      <c r="X31" s="111"/>
      <c r="Y31" s="111"/>
    </row>
    <row r="32" spans="1:25" ht="15.75" customHeight="1">
      <c r="A32" s="285"/>
      <c r="B32" s="285"/>
      <c r="C32" s="187"/>
      <c r="D32" s="285"/>
      <c r="E32" s="187"/>
      <c r="F32" s="285"/>
      <c r="G32" s="187"/>
      <c r="H32" s="285"/>
      <c r="I32" s="187"/>
      <c r="J32" s="285"/>
      <c r="K32" s="187"/>
      <c r="L32" s="284"/>
      <c r="M32" s="284"/>
      <c r="N32" s="285"/>
      <c r="O32" s="285"/>
      <c r="P32" s="285"/>
      <c r="Q32" s="287"/>
      <c r="R32" s="288"/>
      <c r="T32" s="216">
        <f t="shared" si="1"/>
      </c>
      <c r="U32" s="111">
        <f t="shared" si="2"/>
        <v>0</v>
      </c>
      <c r="V32" s="111"/>
      <c r="W32" s="111"/>
      <c r="X32" s="111"/>
      <c r="Y32" s="111"/>
    </row>
    <row r="33" spans="1:25" ht="15.75" customHeight="1">
      <c r="A33" s="285"/>
      <c r="B33" s="285"/>
      <c r="C33" s="187"/>
      <c r="D33" s="285"/>
      <c r="E33" s="187"/>
      <c r="F33" s="285"/>
      <c r="G33" s="187"/>
      <c r="H33" s="285"/>
      <c r="I33" s="187"/>
      <c r="J33" s="285"/>
      <c r="K33" s="187"/>
      <c r="L33" s="284"/>
      <c r="M33" s="284"/>
      <c r="N33" s="285"/>
      <c r="O33" s="285"/>
      <c r="P33" s="285"/>
      <c r="Q33" s="287"/>
      <c r="R33" s="288"/>
      <c r="T33" s="216">
        <f t="shared" si="1"/>
      </c>
      <c r="U33" s="111">
        <f t="shared" si="2"/>
        <v>0</v>
      </c>
      <c r="V33" s="111"/>
      <c r="W33" s="111"/>
      <c r="X33" s="111"/>
      <c r="Y33" s="111"/>
    </row>
    <row r="34" spans="1:25" ht="15.75" customHeight="1">
      <c r="A34" s="111"/>
      <c r="B34" s="111"/>
      <c r="C34" s="206"/>
      <c r="D34" s="111"/>
      <c r="E34" s="206"/>
      <c r="F34" s="111"/>
      <c r="G34" s="206"/>
      <c r="H34" s="111"/>
      <c r="I34" s="206"/>
      <c r="J34" s="111"/>
      <c r="K34" s="206"/>
      <c r="L34" s="112"/>
      <c r="M34" s="112"/>
      <c r="N34" s="111"/>
      <c r="O34" s="111"/>
      <c r="P34" s="111"/>
      <c r="Q34" s="227"/>
      <c r="R34" s="228"/>
      <c r="S34" s="111"/>
      <c r="T34" s="111"/>
      <c r="U34" s="111"/>
      <c r="V34" s="111"/>
      <c r="W34" s="111"/>
      <c r="X34" s="111"/>
      <c r="Y34" s="111"/>
    </row>
    <row r="35" spans="1:25" ht="15.75" customHeight="1">
      <c r="A35" s="111"/>
      <c r="B35" s="111"/>
      <c r="C35" s="206"/>
      <c r="D35" s="111"/>
      <c r="E35" s="206"/>
      <c r="F35" s="111"/>
      <c r="G35" s="206"/>
      <c r="H35" s="111"/>
      <c r="I35" s="206"/>
      <c r="J35" s="111"/>
      <c r="K35" s="206"/>
      <c r="L35" s="112"/>
      <c r="M35" s="112"/>
      <c r="N35" s="111"/>
      <c r="O35" s="111"/>
      <c r="P35" s="111"/>
      <c r="Q35" s="227"/>
      <c r="R35" s="228"/>
      <c r="S35" s="111"/>
      <c r="T35" s="111"/>
      <c r="U35" s="111"/>
      <c r="V35" s="111"/>
      <c r="W35" s="111"/>
      <c r="X35" s="111"/>
      <c r="Y35" s="111"/>
    </row>
    <row r="36" spans="1:25" ht="15.75">
      <c r="A36" s="111"/>
      <c r="B36" s="111"/>
      <c r="C36" s="206"/>
      <c r="D36" s="111"/>
      <c r="E36" s="206"/>
      <c r="F36" s="111"/>
      <c r="G36" s="206"/>
      <c r="H36" s="111"/>
      <c r="I36" s="206"/>
      <c r="J36" s="111"/>
      <c r="K36" s="206"/>
      <c r="L36" s="112"/>
      <c r="M36" s="112"/>
      <c r="N36" s="111"/>
      <c r="O36" s="111"/>
      <c r="P36" s="111"/>
      <c r="Q36" s="227"/>
      <c r="R36" s="228"/>
      <c r="S36" s="111"/>
      <c r="T36" s="111"/>
      <c r="U36" s="111"/>
      <c r="V36" s="111"/>
      <c r="W36" s="111"/>
      <c r="X36" s="111"/>
      <c r="Y36" s="111"/>
    </row>
    <row r="37" spans="1:25" ht="15.75">
      <c r="A37" s="111"/>
      <c r="B37" s="111"/>
      <c r="C37" s="206"/>
      <c r="D37" s="111"/>
      <c r="E37" s="206"/>
      <c r="F37" s="111"/>
      <c r="G37" s="206"/>
      <c r="H37" s="111"/>
      <c r="I37" s="206"/>
      <c r="J37" s="111"/>
      <c r="K37" s="206"/>
      <c r="L37" s="112"/>
      <c r="M37" s="112"/>
      <c r="N37" s="111"/>
      <c r="O37" s="111"/>
      <c r="P37" s="111"/>
      <c r="Q37" s="227"/>
      <c r="R37" s="228"/>
      <c r="S37" s="111"/>
      <c r="T37" s="111"/>
      <c r="U37" s="111"/>
      <c r="V37" s="111"/>
      <c r="W37" s="111"/>
      <c r="X37" s="111"/>
      <c r="Y37" s="111"/>
    </row>
    <row r="38" spans="1:25" ht="15.75">
      <c r="A38" s="111"/>
      <c r="B38" s="111"/>
      <c r="C38" s="206"/>
      <c r="D38" s="111"/>
      <c r="E38" s="206"/>
      <c r="F38" s="111"/>
      <c r="G38" s="206"/>
      <c r="H38" s="111"/>
      <c r="I38" s="206"/>
      <c r="J38" s="111"/>
      <c r="K38" s="206"/>
      <c r="L38" s="112"/>
      <c r="M38" s="112"/>
      <c r="N38" s="111"/>
      <c r="O38" s="111"/>
      <c r="P38" s="111"/>
      <c r="Q38" s="227"/>
      <c r="R38" s="228"/>
      <c r="S38" s="111"/>
      <c r="T38" s="111"/>
      <c r="U38" s="111"/>
      <c r="V38" s="111"/>
      <c r="W38" s="111"/>
      <c r="X38" s="111"/>
      <c r="Y38" s="111"/>
    </row>
    <row r="39" spans="1:25" ht="15.75">
      <c r="A39" s="111"/>
      <c r="B39" s="111"/>
      <c r="C39" s="206"/>
      <c r="D39" s="111"/>
      <c r="E39" s="206"/>
      <c r="F39" s="111"/>
      <c r="G39" s="206"/>
      <c r="H39" s="111"/>
      <c r="I39" s="206"/>
      <c r="J39" s="111"/>
      <c r="K39" s="206"/>
      <c r="L39" s="112"/>
      <c r="M39" s="112"/>
      <c r="N39" s="111"/>
      <c r="O39" s="111"/>
      <c r="P39" s="111"/>
      <c r="Q39" s="227"/>
      <c r="R39" s="228"/>
      <c r="S39" s="111"/>
      <c r="T39" s="111"/>
      <c r="U39" s="111"/>
      <c r="V39" s="111"/>
      <c r="W39" s="111"/>
      <c r="X39" s="111"/>
      <c r="Y39" s="111"/>
    </row>
    <row r="40" spans="1:25" ht="15.75">
      <c r="A40" s="111"/>
      <c r="B40" s="111"/>
      <c r="C40" s="206"/>
      <c r="D40" s="111"/>
      <c r="E40" s="206"/>
      <c r="F40" s="111"/>
      <c r="G40" s="206"/>
      <c r="H40" s="111"/>
      <c r="I40" s="206"/>
      <c r="J40" s="111"/>
      <c r="K40" s="206"/>
      <c r="L40" s="112"/>
      <c r="M40" s="112"/>
      <c r="N40" s="111"/>
      <c r="O40" s="111"/>
      <c r="P40" s="111"/>
      <c r="Q40" s="227"/>
      <c r="R40" s="228"/>
      <c r="S40" s="111"/>
      <c r="T40" s="111"/>
      <c r="U40" s="111"/>
      <c r="V40" s="111"/>
      <c r="W40" s="111"/>
      <c r="X40" s="111"/>
      <c r="Y40" s="111"/>
    </row>
  </sheetData>
  <sheetProtection/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7"/>
  <dimension ref="A1:S36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.8515625" style="3" customWidth="1"/>
    <col min="2" max="2" width="4.140625" style="1" hidden="1" customWidth="1"/>
    <col min="3" max="3" width="14.7109375" style="1" hidden="1" customWidth="1"/>
    <col min="4" max="4" width="16.8515625" style="14" customWidth="1"/>
    <col min="5" max="5" width="38.8515625" style="3" customWidth="1"/>
    <col min="6" max="6" width="24.7109375" style="3" customWidth="1"/>
    <col min="7" max="7" width="5.00390625" style="3" customWidth="1"/>
    <col min="8" max="16384" width="9.140625" style="3" customWidth="1"/>
  </cols>
  <sheetData>
    <row r="1" spans="1:9" ht="18" customHeight="1" thickBot="1">
      <c r="A1" s="9" t="s">
        <v>3</v>
      </c>
      <c r="B1" s="15"/>
      <c r="C1" s="15"/>
      <c r="D1" s="10"/>
      <c r="E1" s="21" t="s">
        <v>7</v>
      </c>
      <c r="F1" s="4" t="s">
        <v>4</v>
      </c>
      <c r="H1" s="233" t="s">
        <v>88</v>
      </c>
      <c r="I1" s="125"/>
    </row>
    <row r="2" spans="1:19" ht="21" customHeight="1" thickBot="1">
      <c r="A2" s="191" t="s">
        <v>26</v>
      </c>
      <c r="B2" s="192"/>
      <c r="C2" s="192"/>
      <c r="D2" s="193"/>
      <c r="E2" s="7"/>
      <c r="F2" s="8">
        <f>COUNT(D4:D33)</f>
        <v>5</v>
      </c>
      <c r="H2" s="125"/>
      <c r="I2" s="125"/>
      <c r="S2" s="3">
        <f>Dont_sors!F2</f>
        <v>5</v>
      </c>
    </row>
    <row r="3" spans="1:9" ht="16.5" thickBot="1">
      <c r="A3" s="194"/>
      <c r="B3" s="195"/>
      <c r="C3" s="195"/>
      <c r="D3" s="196" t="s">
        <v>0</v>
      </c>
      <c r="E3" s="18" t="s">
        <v>1</v>
      </c>
      <c r="F3" s="19" t="s">
        <v>2</v>
      </c>
      <c r="H3" s="125"/>
      <c r="I3" s="125"/>
    </row>
    <row r="4" spans="1:8" ht="15.75">
      <c r="A4" s="197">
        <f>IF(D4&lt;&gt;"",1,"")</f>
        <v>1</v>
      </c>
      <c r="B4" s="198">
        <f ca="1">IF(E4="…"," ",IF(E4=""," ",RAND()))</f>
        <v>0.5631824940867108</v>
      </c>
      <c r="C4" s="198">
        <f>IF(ISNUMBER(D4)=TRUE,IF(COUNTIF(D4:D33,D4)=1,"","HIBA"),"")</f>
      </c>
      <c r="D4" s="171">
        <v>7</v>
      </c>
      <c r="E4" s="185" t="s">
        <v>99</v>
      </c>
      <c r="F4" s="185" t="s">
        <v>103</v>
      </c>
      <c r="H4" s="125"/>
    </row>
    <row r="5" spans="1:8" ht="15.75">
      <c r="A5" s="197">
        <f>IF(D5&lt;&gt;"",2,"")</f>
        <v>2</v>
      </c>
      <c r="B5" s="198">
        <f aca="true" ca="1" t="shared" si="0" ref="B5:B33">IF(E5="…"," ",IF(E5=""," ",RAND()))</f>
        <v>0.7508168667946156</v>
      </c>
      <c r="C5" s="198">
        <f>IF(ISNUMBER(D5)=TRUE,IF(COUNTIF(D4:D33,D5)=1,"","HIBA"),"")</f>
      </c>
      <c r="D5" s="186">
        <v>4</v>
      </c>
      <c r="E5" s="187" t="s">
        <v>101</v>
      </c>
      <c r="F5" s="187" t="s">
        <v>103</v>
      </c>
      <c r="H5" s="125"/>
    </row>
    <row r="6" spans="1:8" ht="15.75">
      <c r="A6" s="197">
        <f>IF(D6&lt;&gt;"",3,"")</f>
        <v>3</v>
      </c>
      <c r="B6" s="198">
        <f ca="1" t="shared" si="0"/>
        <v>0.8201792837380084</v>
      </c>
      <c r="C6" s="198">
        <f>IF(ISNUMBER(D6)=TRUE,IF(COUNTIF(D4:D33,D6)=1,"","HIBA"),"")</f>
      </c>
      <c r="D6" s="186">
        <v>8</v>
      </c>
      <c r="E6" s="187" t="s">
        <v>102</v>
      </c>
      <c r="F6" s="187" t="s">
        <v>105</v>
      </c>
      <c r="H6" s="125"/>
    </row>
    <row r="7" spans="1:8" ht="15.75">
      <c r="A7" s="197">
        <f>IF(D7&lt;&gt;"",4,"")</f>
        <v>4</v>
      </c>
      <c r="B7" s="198">
        <f ca="1" t="shared" si="0"/>
        <v>0.941266125063712</v>
      </c>
      <c r="C7" s="198">
        <f>IF(ISNUMBER(D7)=TRUE,IF(COUNTIF(D4:D33,D7)=1,"","HIBA"),"")</f>
      </c>
      <c r="D7" s="186">
        <v>10</v>
      </c>
      <c r="E7" s="187" t="s">
        <v>100</v>
      </c>
      <c r="F7" s="187" t="s">
        <v>104</v>
      </c>
      <c r="H7" s="125"/>
    </row>
    <row r="8" spans="1:8" ht="15.75">
      <c r="A8" s="197">
        <f>IF(D8&lt;&gt;"",5,"")</f>
        <v>5</v>
      </c>
      <c r="B8" s="198">
        <f ca="1" t="shared" si="0"/>
        <v>0.006431829972693315</v>
      </c>
      <c r="C8" s="198">
        <f>IF(ISNUMBER(D8)=TRUE,IF(COUNTIF(D4:D33,D8)=1,"","HIBA"),"")</f>
      </c>
      <c r="D8" s="186">
        <v>3</v>
      </c>
      <c r="E8" s="187" t="s">
        <v>106</v>
      </c>
      <c r="F8" s="187"/>
      <c r="H8" s="125"/>
    </row>
    <row r="9" spans="1:8" ht="15.75">
      <c r="A9" s="197">
        <f>IF(D9&lt;&gt;"",6,"")</f>
      </c>
      <c r="B9" s="198" t="str">
        <f ca="1" t="shared" si="0"/>
        <v> </v>
      </c>
      <c r="C9" s="198">
        <f>IF(ISNUMBER(D9)=TRUE,IF(COUNTIF(D4:D33,D9)=1,"","HIBA"),"")</f>
      </c>
      <c r="D9" s="186"/>
      <c r="E9" s="187"/>
      <c r="F9" s="187"/>
      <c r="H9" s="125"/>
    </row>
    <row r="10" spans="1:9" ht="15" customHeight="1" thickBot="1">
      <c r="A10" s="199">
        <f>IF(D10&lt;&gt;"",7,"")</f>
      </c>
      <c r="B10" s="200" t="str">
        <f ca="1" t="shared" si="0"/>
        <v> </v>
      </c>
      <c r="C10" s="200">
        <f>IF(ISNUMBER(D10)=TRUE,IF(COUNTIF(D4:D33,D10)=1,"","HIBA"),"")</f>
      </c>
      <c r="D10" s="170"/>
      <c r="E10" s="189"/>
      <c r="F10" s="190"/>
      <c r="H10" s="125"/>
      <c r="I10" s="125"/>
    </row>
    <row r="11" spans="1:9" ht="15" customHeight="1">
      <c r="A11" s="182"/>
      <c r="B11" s="183" t="str">
        <f ca="1" t="shared" si="0"/>
        <v> </v>
      </c>
      <c r="C11" s="183">
        <f>IF(ISNUMBER(D11)=TRUE,IF(COUNTIF(D4:D33,D11)=1,"","HIBA"),"")</f>
      </c>
      <c r="D11" s="184"/>
      <c r="E11" s="182"/>
      <c r="F11" s="182"/>
      <c r="H11" s="125"/>
      <c r="I11" s="125"/>
    </row>
    <row r="12" spans="1:9" ht="15" customHeight="1">
      <c r="A12" s="182"/>
      <c r="B12" s="183" t="str">
        <f ca="1" t="shared" si="0"/>
        <v> </v>
      </c>
      <c r="C12" s="183">
        <f>IF(ISNUMBER(D12)=TRUE,IF(COUNTIF(D4:D33,D12)=1,"","HIBA"),"")</f>
      </c>
      <c r="D12" s="184"/>
      <c r="E12" s="182"/>
      <c r="F12" s="182"/>
      <c r="G12" s="3" t="str">
        <f aca="true" t="shared" si="1" ref="G12:G33">IF(E12="…"," ",IF(E12=""," ",A12))</f>
        <v> </v>
      </c>
      <c r="H12" s="125"/>
      <c r="I12" s="125"/>
    </row>
    <row r="13" spans="1:9" ht="15" customHeight="1">
      <c r="A13" s="182"/>
      <c r="B13" s="183" t="str">
        <f ca="1" t="shared" si="0"/>
        <v> </v>
      </c>
      <c r="C13" s="183">
        <f>IF(ISNUMBER(D13)=TRUE,IF(COUNTIF(D4:D33,D13)=1,"","HIBA"),"")</f>
      </c>
      <c r="D13" s="184"/>
      <c r="E13" s="182"/>
      <c r="F13" s="182"/>
      <c r="G13" s="3" t="str">
        <f t="shared" si="1"/>
        <v> </v>
      </c>
      <c r="H13" s="125"/>
      <c r="I13" s="125"/>
    </row>
    <row r="14" spans="1:9" ht="15" customHeight="1">
      <c r="A14" s="182"/>
      <c r="B14" s="183" t="str">
        <f ca="1" t="shared" si="0"/>
        <v> </v>
      </c>
      <c r="C14" s="183">
        <f>IF(ISNUMBER(D14)=TRUE,IF(COUNTIF(D4:D33,D14)=1,"","HIBA"),"")</f>
      </c>
      <c r="D14" s="184"/>
      <c r="E14" s="182"/>
      <c r="F14" s="182"/>
      <c r="G14" s="3" t="str">
        <f t="shared" si="1"/>
        <v> </v>
      </c>
      <c r="H14" s="125"/>
      <c r="I14" s="125"/>
    </row>
    <row r="15" spans="1:9" ht="15" customHeight="1">
      <c r="A15" s="182"/>
      <c r="B15" s="183" t="str">
        <f ca="1" t="shared" si="0"/>
        <v> </v>
      </c>
      <c r="C15" s="183">
        <f>IF(ISNUMBER(D15)=TRUE,IF(COUNTIF(D4:D33,D15)=1,"","HIBA"),"")</f>
      </c>
      <c r="D15" s="184"/>
      <c r="E15" s="182"/>
      <c r="F15" s="182"/>
      <c r="G15" s="3" t="str">
        <f t="shared" si="1"/>
        <v> </v>
      </c>
      <c r="H15" s="125"/>
      <c r="I15" s="125"/>
    </row>
    <row r="16" spans="1:9" ht="15" customHeight="1">
      <c r="A16" s="182"/>
      <c r="B16" s="183" t="str">
        <f ca="1" t="shared" si="0"/>
        <v> </v>
      </c>
      <c r="C16" s="183">
        <f>IF(ISNUMBER(D16)=TRUE,IF(COUNTIF(D4:D33,D16)=1,"","HIBA"),"")</f>
      </c>
      <c r="D16" s="184"/>
      <c r="E16" s="182"/>
      <c r="F16" s="182"/>
      <c r="G16" s="3" t="str">
        <f t="shared" si="1"/>
        <v> </v>
      </c>
      <c r="H16" s="125"/>
      <c r="I16" s="125"/>
    </row>
    <row r="17" spans="1:9" ht="15" customHeight="1">
      <c r="A17" s="182"/>
      <c r="B17" s="183" t="str">
        <f ca="1" t="shared" si="0"/>
        <v> </v>
      </c>
      <c r="C17" s="183">
        <f>IF(ISNUMBER(D17)=TRUE,IF(COUNTIF(D4:D33,D17)=1,"","HIBA"),"")</f>
      </c>
      <c r="D17" s="184"/>
      <c r="E17" s="182"/>
      <c r="F17" s="182"/>
      <c r="G17" s="3" t="str">
        <f t="shared" si="1"/>
        <v> </v>
      </c>
      <c r="H17" s="125"/>
      <c r="I17" s="125"/>
    </row>
    <row r="18" spans="1:9" ht="15" customHeight="1">
      <c r="A18" s="182"/>
      <c r="B18" s="183" t="str">
        <f ca="1" t="shared" si="0"/>
        <v> </v>
      </c>
      <c r="C18" s="183">
        <f>IF(ISNUMBER(D18)=TRUE,IF(COUNTIF(D4:D33,D18)=1,"","HIBA"),"")</f>
      </c>
      <c r="D18" s="184"/>
      <c r="E18" s="182"/>
      <c r="F18" s="182"/>
      <c r="G18" s="3" t="str">
        <f t="shared" si="1"/>
        <v> </v>
      </c>
      <c r="H18" s="125"/>
      <c r="I18" s="125"/>
    </row>
    <row r="19" spans="1:9" ht="15" customHeight="1">
      <c r="A19" s="182"/>
      <c r="B19" s="183" t="str">
        <f ca="1" t="shared" si="0"/>
        <v> </v>
      </c>
      <c r="C19" s="183">
        <f>IF(ISNUMBER(D19)=TRUE,IF(COUNTIF(D4:D33,D19)=1,"","HIBA"),"")</f>
      </c>
      <c r="D19" s="184"/>
      <c r="E19" s="182"/>
      <c r="F19" s="182"/>
      <c r="G19" s="3" t="str">
        <f t="shared" si="1"/>
        <v> </v>
      </c>
      <c r="H19" s="125"/>
      <c r="I19" s="125"/>
    </row>
    <row r="20" spans="1:9" ht="15" customHeight="1">
      <c r="A20" s="182"/>
      <c r="B20" s="183" t="str">
        <f ca="1" t="shared" si="0"/>
        <v> </v>
      </c>
      <c r="C20" s="183">
        <f>IF(ISNUMBER(D20)=TRUE,IF(COUNTIF(D4:D33,D20)=1,"","HIBA"),"")</f>
      </c>
      <c r="D20" s="184"/>
      <c r="E20" s="182"/>
      <c r="F20" s="182"/>
      <c r="G20" s="3" t="str">
        <f t="shared" si="1"/>
        <v> </v>
      </c>
      <c r="H20" s="125"/>
      <c r="I20" s="125"/>
    </row>
    <row r="21" spans="1:9" ht="15" customHeight="1">
      <c r="A21" s="182"/>
      <c r="B21" s="183" t="str">
        <f ca="1" t="shared" si="0"/>
        <v> </v>
      </c>
      <c r="C21" s="183">
        <f>IF(ISNUMBER(D21)=TRUE,IF(COUNTIF(D4:D33,D21)=1,"","HIBA"),"")</f>
      </c>
      <c r="D21" s="184"/>
      <c r="E21" s="182"/>
      <c r="F21" s="182"/>
      <c r="G21" s="3" t="str">
        <f t="shared" si="1"/>
        <v> </v>
      </c>
      <c r="H21" s="125"/>
      <c r="I21" s="125"/>
    </row>
    <row r="22" spans="1:9" ht="15" customHeight="1">
      <c r="A22" s="182"/>
      <c r="B22" s="183" t="str">
        <f ca="1" t="shared" si="0"/>
        <v> </v>
      </c>
      <c r="C22" s="183">
        <f>IF(ISNUMBER(D22)=TRUE,IF(COUNTIF(D4:D33,D22)=1,"","HIBA"),"")</f>
      </c>
      <c r="D22" s="184"/>
      <c r="E22" s="182"/>
      <c r="F22" s="182"/>
      <c r="G22" s="3" t="str">
        <f t="shared" si="1"/>
        <v> </v>
      </c>
      <c r="H22" s="125"/>
      <c r="I22" s="125"/>
    </row>
    <row r="23" spans="1:9" ht="15" customHeight="1">
      <c r="A23" s="182"/>
      <c r="B23" s="183" t="str">
        <f ca="1" t="shared" si="0"/>
        <v> </v>
      </c>
      <c r="C23" s="183">
        <f>IF(ISNUMBER(D23)=TRUE,IF(COUNTIF(D4:D33,D23)=1,"","HIBA"),"")</f>
      </c>
      <c r="D23" s="184"/>
      <c r="E23" s="182"/>
      <c r="F23" s="182"/>
      <c r="G23" s="3" t="str">
        <f t="shared" si="1"/>
        <v> </v>
      </c>
      <c r="H23" s="125"/>
      <c r="I23" s="125"/>
    </row>
    <row r="24" spans="1:9" ht="15" customHeight="1">
      <c r="A24" s="182"/>
      <c r="B24" s="183" t="str">
        <f ca="1" t="shared" si="0"/>
        <v> </v>
      </c>
      <c r="C24" s="183">
        <f>IF(ISNUMBER(D24)=TRUE,IF(COUNTIF(D4:D33,D24)=1,"","HIBA"),"")</f>
      </c>
      <c r="D24" s="184"/>
      <c r="E24" s="182"/>
      <c r="F24" s="182"/>
      <c r="G24" s="3" t="str">
        <f t="shared" si="1"/>
        <v> </v>
      </c>
      <c r="H24" s="125"/>
      <c r="I24" s="125"/>
    </row>
    <row r="25" spans="1:9" ht="15" customHeight="1">
      <c r="A25" s="182"/>
      <c r="B25" s="183" t="str">
        <f ca="1" t="shared" si="0"/>
        <v> </v>
      </c>
      <c r="C25" s="183">
        <f>IF(ISNUMBER(D25)=TRUE,IF(COUNTIF(D4:D33,D25)=1,"","HIBA"),"")</f>
      </c>
      <c r="D25" s="184"/>
      <c r="E25" s="182"/>
      <c r="F25" s="182"/>
      <c r="G25" s="3" t="str">
        <f t="shared" si="1"/>
        <v> </v>
      </c>
      <c r="H25" s="125"/>
      <c r="I25" s="125"/>
    </row>
    <row r="26" spans="1:9" ht="15" customHeight="1">
      <c r="A26" s="182"/>
      <c r="B26" s="183" t="str">
        <f ca="1" t="shared" si="0"/>
        <v> </v>
      </c>
      <c r="C26" s="183">
        <f>IF(ISNUMBER(D26)=TRUE,IF(COUNTIF(D4:D33,D26)=1,"","HIBA"),"")</f>
      </c>
      <c r="D26" s="184"/>
      <c r="E26" s="182"/>
      <c r="F26" s="182"/>
      <c r="G26" s="3" t="str">
        <f t="shared" si="1"/>
        <v> </v>
      </c>
      <c r="H26" s="125"/>
      <c r="I26" s="125"/>
    </row>
    <row r="27" spans="1:9" ht="15" customHeight="1">
      <c r="A27" s="182"/>
      <c r="B27" s="183" t="str">
        <f ca="1" t="shared" si="0"/>
        <v> </v>
      </c>
      <c r="C27" s="183">
        <f>IF(ISNUMBER(D27)=TRUE,IF(COUNTIF(D4:D33,D27)=1,"","HIBA"),"")</f>
      </c>
      <c r="D27" s="184"/>
      <c r="E27" s="182"/>
      <c r="F27" s="182"/>
      <c r="G27" s="3" t="str">
        <f t="shared" si="1"/>
        <v> </v>
      </c>
      <c r="H27" s="125"/>
      <c r="I27" s="125"/>
    </row>
    <row r="28" spans="1:9" ht="15" customHeight="1">
      <c r="A28" s="182"/>
      <c r="B28" s="183" t="str">
        <f ca="1" t="shared" si="0"/>
        <v> </v>
      </c>
      <c r="C28" s="183">
        <f>IF(ISNUMBER(D28)=TRUE,IF(COUNTIF(D4:D33,D28)=1,"","HIBA"),"")</f>
      </c>
      <c r="D28" s="184"/>
      <c r="E28" s="182"/>
      <c r="F28" s="182"/>
      <c r="G28" s="3" t="str">
        <f t="shared" si="1"/>
        <v> </v>
      </c>
      <c r="H28" s="125"/>
      <c r="I28" s="125"/>
    </row>
    <row r="29" spans="1:9" ht="15" customHeight="1">
      <c r="A29" s="182"/>
      <c r="B29" s="183" t="str">
        <f ca="1" t="shared" si="0"/>
        <v> </v>
      </c>
      <c r="C29" s="183">
        <f>IF(ISNUMBER(D29)=TRUE,IF(COUNTIF(D4:D33,D29)=1,"","HIBA"),"")</f>
      </c>
      <c r="D29" s="184"/>
      <c r="E29" s="182"/>
      <c r="F29" s="182"/>
      <c r="G29" s="3" t="str">
        <f t="shared" si="1"/>
        <v> </v>
      </c>
      <c r="H29" s="125"/>
      <c r="I29" s="125"/>
    </row>
    <row r="30" spans="1:9" ht="15" customHeight="1">
      <c r="A30" s="182"/>
      <c r="B30" s="183" t="str">
        <f ca="1" t="shared" si="0"/>
        <v> </v>
      </c>
      <c r="C30" s="183">
        <f>IF(ISNUMBER(D30)=TRUE,IF(COUNTIF(D4:D33,D30)=1,"","HIBA"),"")</f>
      </c>
      <c r="D30" s="184"/>
      <c r="E30" s="182"/>
      <c r="F30" s="182"/>
      <c r="G30" s="3" t="str">
        <f t="shared" si="1"/>
        <v> </v>
      </c>
      <c r="H30" s="125"/>
      <c r="I30" s="125"/>
    </row>
    <row r="31" spans="1:9" ht="15" customHeight="1">
      <c r="A31" s="182"/>
      <c r="B31" s="183" t="str">
        <f ca="1" t="shared" si="0"/>
        <v> </v>
      </c>
      <c r="C31" s="183">
        <f>IF(ISNUMBER(D31)=TRUE,IF(COUNTIF(D4:D33,D31)=1,"","HIBA"),"")</f>
      </c>
      <c r="D31" s="184"/>
      <c r="E31" s="182"/>
      <c r="F31" s="182"/>
      <c r="G31" s="3" t="str">
        <f t="shared" si="1"/>
        <v> </v>
      </c>
      <c r="H31" s="125"/>
      <c r="I31" s="125"/>
    </row>
    <row r="32" spans="1:9" ht="15" customHeight="1">
      <c r="A32" s="182"/>
      <c r="B32" s="183" t="str">
        <f ca="1" t="shared" si="0"/>
        <v> </v>
      </c>
      <c r="C32" s="183">
        <f>IF(ISNUMBER(D32)=TRUE,IF(COUNTIF(D4:D33,D32)=1,"","HIBA"),"")</f>
      </c>
      <c r="D32" s="184"/>
      <c r="E32" s="182"/>
      <c r="F32" s="182"/>
      <c r="G32" s="3" t="str">
        <f t="shared" si="1"/>
        <v> </v>
      </c>
      <c r="H32" s="125"/>
      <c r="I32" s="125"/>
    </row>
    <row r="33" spans="1:9" ht="15" customHeight="1">
      <c r="A33" s="182"/>
      <c r="B33" s="183" t="str">
        <f ca="1" t="shared" si="0"/>
        <v> </v>
      </c>
      <c r="C33" s="183">
        <f>IF(ISNUMBER(D33)=TRUE,IF(COUNTIF(D4:D33,D33)=1,"","HIBA"),"")</f>
      </c>
      <c r="D33" s="184"/>
      <c r="E33" s="182"/>
      <c r="F33" s="182"/>
      <c r="G33" s="3" t="str">
        <f t="shared" si="1"/>
        <v> </v>
      </c>
      <c r="H33" s="125"/>
      <c r="I33" s="125"/>
    </row>
    <row r="34" spans="1:9" ht="15" customHeight="1">
      <c r="A34" s="125"/>
      <c r="B34" s="130"/>
      <c r="C34" s="130"/>
      <c r="D34" s="131"/>
      <c r="E34" s="125"/>
      <c r="F34" s="125"/>
      <c r="G34" s="125"/>
      <c r="H34" s="125"/>
      <c r="I34" s="125"/>
    </row>
    <row r="35" spans="1:9" ht="15.75">
      <c r="A35" s="125"/>
      <c r="B35" s="130"/>
      <c r="C35" s="130"/>
      <c r="D35" s="131"/>
      <c r="E35" s="125"/>
      <c r="F35" s="125"/>
      <c r="G35" s="125"/>
      <c r="H35" s="125"/>
      <c r="I35" s="125"/>
    </row>
    <row r="36" spans="1:9" ht="15.75">
      <c r="A36" s="125"/>
      <c r="B36" s="130"/>
      <c r="C36" s="130"/>
      <c r="D36" s="131"/>
      <c r="E36" s="125"/>
      <c r="F36" s="125"/>
      <c r="G36" s="125"/>
      <c r="H36" s="125"/>
      <c r="I36" s="125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P65"/>
  <sheetViews>
    <sheetView zoomScalePageLayoutView="0" workbookViewId="0" topLeftCell="A1">
      <selection activeCell="A1" sqref="A1:D12"/>
    </sheetView>
  </sheetViews>
  <sheetFormatPr defaultColWidth="9.140625" defaultRowHeight="12.75"/>
  <cols>
    <col min="1" max="1" width="7.7109375" style="28" customWidth="1"/>
    <col min="2" max="2" width="10.00390625" style="22" customWidth="1"/>
    <col min="3" max="3" width="46.28125" style="2" customWidth="1"/>
    <col min="4" max="4" width="28.7109375" style="2" customWidth="1"/>
    <col min="5" max="16384" width="9.140625" style="2" customWidth="1"/>
  </cols>
  <sheetData>
    <row r="1" spans="1:16" ht="24" customHeight="1" thickBot="1">
      <c r="A1" s="159" t="str">
        <f>Rajtlista!E1</f>
        <v>Boogie - Woogie</v>
      </c>
      <c r="B1" s="147"/>
      <c r="C1" s="148" t="s">
        <v>56</v>
      </c>
      <c r="D1" s="181">
        <f ca="1">NOW()</f>
        <v>42105.80206805556</v>
      </c>
      <c r="E1" s="174"/>
      <c r="F1" s="241" t="s">
        <v>88</v>
      </c>
      <c r="G1" s="174"/>
      <c r="H1" s="174"/>
      <c r="I1" s="174"/>
      <c r="J1" s="174"/>
      <c r="K1" s="174"/>
      <c r="L1" s="174"/>
      <c r="M1" s="174"/>
      <c r="N1" s="174"/>
      <c r="O1" s="174"/>
      <c r="P1" s="174"/>
    </row>
    <row r="2" spans="1:16" ht="24" customHeight="1" thickBot="1">
      <c r="A2" s="167" t="s">
        <v>5</v>
      </c>
      <c r="B2" s="158" t="s">
        <v>0</v>
      </c>
      <c r="C2" s="168" t="s">
        <v>1</v>
      </c>
      <c r="D2" s="169" t="s">
        <v>2</v>
      </c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</row>
    <row r="3" spans="1:16" ht="21.75" customHeight="1" thickBot="1">
      <c r="A3" s="172"/>
      <c r="B3" s="173"/>
      <c r="C3" s="263"/>
      <c r="D3" s="263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174"/>
      <c r="P3" s="174"/>
    </row>
    <row r="4" spans="1:16" ht="16.5" thickBot="1">
      <c r="A4" s="178">
        <f>IF(Dont_sors!D4="","",1)</f>
        <v>1</v>
      </c>
      <c r="B4" s="262">
        <f>IF(Dont_sors!D10="",IF(Dont_sors!D9="",Dont_sors!D8,Dont_sors!D9),Dont_sors!D10)</f>
        <v>3</v>
      </c>
      <c r="C4" s="180" t="str">
        <f>IF(Dont_sors!E10="",IF(Dont_sors!E9="",Dont_sors!E8,Dont_sors!E9),Dont_sors!E10)</f>
        <v>BUJÁKI János - Korda Julia</v>
      </c>
      <c r="D4" s="180">
        <f>IF(Dont_sors!F10="",IF(Dont_sors!F9="",Dont_sors!F8,Dont_sors!F9),Dont_sors!F10)</f>
        <v>0</v>
      </c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6" ht="16.5" thickBot="1">
      <c r="A5" s="175"/>
      <c r="B5" s="176"/>
      <c r="C5" s="177"/>
      <c r="D5" s="177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</row>
    <row r="6" spans="1:16" ht="16.5" thickBot="1">
      <c r="A6" s="178">
        <f>IF(Dont_sors!D5="","",2)</f>
        <v>2</v>
      </c>
      <c r="B6" s="262">
        <f>IF(Dont_sors!D10="",IF(Dont_sors!D9="",Dont_sors!D7,Dont_sors!D8),Dont_sors!D9)</f>
        <v>10</v>
      </c>
      <c r="C6" s="180" t="str">
        <f>IF(Dont_sors!E10="",IF(Dont_sors!E9="",Dont_sors!E7,Dont_sors!E8),Dont_sors!E9)</f>
        <v>DÁNIEL Balázs - KELEMEN Patrícia</v>
      </c>
      <c r="D6" s="180" t="str">
        <f>IF(Dont_sors!F10="",IF(Dont_sors!F9="",Dont_sors!F7,Dont_sors!F8),Dont_sors!F9)</f>
        <v>Platina TSE, Győr</v>
      </c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</row>
    <row r="7" spans="1:16" ht="16.5" thickBot="1">
      <c r="A7" s="175"/>
      <c r="B7" s="176"/>
      <c r="C7" s="177"/>
      <c r="D7" s="177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</row>
    <row r="8" spans="1:16" ht="16.5" thickBot="1">
      <c r="A8" s="178">
        <f>IF(Dont_sors!D6="","",3)</f>
        <v>3</v>
      </c>
      <c r="B8" s="262">
        <f>IF(Dont_sors!D10="",IF(Dont_sors!D9="",Dont_sors!D6,Dont_sors!D7),Dont_sors!D8)</f>
        <v>8</v>
      </c>
      <c r="C8" s="180" t="str">
        <f>IF(Dont_sors!E10="",IF(Dont_sors!E9="",Dont_sors!E6,Dont_sors!E7),Dont_sors!E8)</f>
        <v>PETŐ Gábor - PETŐ Adrienn</v>
      </c>
      <c r="D8" s="180" t="str">
        <f>IF(Dont_sors!F10="",IF(Dont_sors!F9="",Dont_sors!F6,Dont_sors!F7),Dont_sors!F8)</f>
        <v>RÓK And Roll, Bp</v>
      </c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</row>
    <row r="9" spans="1:16" ht="16.5" thickBot="1">
      <c r="A9" s="175"/>
      <c r="B9" s="176"/>
      <c r="C9" s="177"/>
      <c r="D9" s="177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</row>
    <row r="10" spans="1:16" ht="16.5" thickBot="1">
      <c r="A10" s="178">
        <f>IF(Dont_sors!D7="","",4)</f>
        <v>4</v>
      </c>
      <c r="B10" s="262">
        <f>IF(Dont_sors!D10="",IF(Dont_sors!D9="",Dont_sors!D5,Dont_sors!D6),Dont_sors!D7)</f>
        <v>4</v>
      </c>
      <c r="C10" s="180" t="str">
        <f>IF(Dont_sors!E10="",IF(Dont_sors!E9="",Dont_sors!E5,Dont_sors!E6),Dont_sors!E7)</f>
        <v>SCHMIDT Gábor - SCHMIDT-VACHTLER Erzsébet</v>
      </c>
      <c r="D10" s="180" t="str">
        <f>IF(Dont_sors!F10="",IF(Dont_sors!F9="",Dont_sors!F5,Dont_sors!F6),Dont_sors!F7)</f>
        <v>DancEarth TSE, Bp</v>
      </c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</row>
    <row r="11" spans="1:16" ht="16.5" thickBot="1">
      <c r="A11" s="175"/>
      <c r="B11" s="176"/>
      <c r="C11" s="177"/>
      <c r="D11" s="177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</row>
    <row r="12" spans="1:16" ht="16.5" thickBot="1">
      <c r="A12" s="178">
        <f>IF(Dont_sors!D8="","",5)</f>
        <v>5</v>
      </c>
      <c r="B12" s="262">
        <f>IF(Dont_sors!D10="",IF(Dont_sors!D9="",Dont_sors!D4,Dont_sors!D5),Dont_sors!D6)</f>
        <v>7</v>
      </c>
      <c r="C12" s="180" t="str">
        <f>IF(Dont_sors!E10="",IF(Dont_sors!E9="",Dont_sors!E4,Dont_sors!E5),Dont_sors!E6)</f>
        <v>CSERÉP János - VIRÁG Éva</v>
      </c>
      <c r="D12" s="180" t="str">
        <f>IF(Dont_sors!F10="",IF(Dont_sors!F9="",Dont_sors!F4,Dont_sors!F5),Dont_sors!F6)</f>
        <v>DancEarth TSE, Bp</v>
      </c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</row>
    <row r="13" spans="1:16" ht="16.5" thickBot="1">
      <c r="A13" s="175"/>
      <c r="B13" s="176"/>
      <c r="C13" s="177"/>
      <c r="D13" s="177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</row>
    <row r="14" spans="1:16" ht="16.5" thickBot="1">
      <c r="A14" s="178" t="str">
        <f>IF(Dont_sors!D9=""," ",6)</f>
        <v> </v>
      </c>
      <c r="B14" s="262">
        <f>IF(Dont_sors!D10="",IF(Dont_sors!D9="","",Dont_sors!D4),Dont_sors!D5)</f>
      </c>
      <c r="C14" s="180">
        <f>IF(Dont_sors!E10="",IF(Dont_sors!E9="","",Dont_sors!E4),Dont_sors!E5)</f>
      </c>
      <c r="D14" s="180">
        <f>IF(Dont_sors!F10="",IF(Dont_sors!F9="","",Dont_sors!F4),Dont_sors!F5)</f>
      </c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</row>
    <row r="15" spans="1:16" ht="16.5" thickBot="1">
      <c r="A15" s="175"/>
      <c r="B15" s="176"/>
      <c r="C15" s="177"/>
      <c r="D15" s="177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</row>
    <row r="16" spans="1:16" ht="16.5" thickBot="1">
      <c r="A16" s="178" t="str">
        <f>IF(Dont_sors!D10=""," ",7)</f>
        <v> </v>
      </c>
      <c r="B16" s="179" t="str">
        <f>IF(Dont_sors!D10=""," ",Dont_sors!D4)</f>
        <v> </v>
      </c>
      <c r="C16" s="180">
        <f>IF(Dont_sors!E10="","",Dont_sors!E4)</f>
      </c>
      <c r="D16" s="180">
        <f>IF(Dont_sors!F10="","",Dont_sors!F4)</f>
      </c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</row>
    <row r="17" spans="1:16" ht="15.75">
      <c r="A17" s="175"/>
      <c r="B17" s="176"/>
      <c r="C17" s="177"/>
      <c r="D17" s="177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 ht="15.75" hidden="1">
      <c r="A18" s="229"/>
      <c r="B18" s="185"/>
      <c r="C18" s="185"/>
      <c r="D18" s="185"/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</row>
    <row r="19" spans="1:16" ht="15.75" hidden="1">
      <c r="A19" s="230"/>
      <c r="B19" s="186"/>
      <c r="C19" s="187"/>
      <c r="D19" s="187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</row>
    <row r="20" spans="1:16" ht="15.75" hidden="1">
      <c r="A20" s="230"/>
      <c r="B20" s="186"/>
      <c r="C20" s="187"/>
      <c r="D20" s="187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</row>
    <row r="21" spans="1:16" ht="15.75" hidden="1">
      <c r="A21" s="230"/>
      <c r="B21" s="186"/>
      <c r="C21" s="187"/>
      <c r="D21" s="187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</row>
    <row r="22" spans="1:16" ht="15.75" hidden="1">
      <c r="A22" s="230"/>
      <c r="B22" s="186"/>
      <c r="C22" s="187"/>
      <c r="D22" s="187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</row>
    <row r="23" spans="1:16" ht="15.75" hidden="1">
      <c r="A23" s="230"/>
      <c r="B23" s="186"/>
      <c r="C23" s="187"/>
      <c r="D23" s="187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</row>
    <row r="24" spans="1:16" ht="15.75" hidden="1">
      <c r="A24" s="230"/>
      <c r="B24" s="186"/>
      <c r="C24" s="187"/>
      <c r="D24" s="187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</row>
    <row r="25" spans="1:16" ht="12.75" hidden="1">
      <c r="A25" s="230"/>
      <c r="B25" s="231"/>
      <c r="C25" s="232"/>
      <c r="D25" s="232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16" ht="12.75" hidden="1">
      <c r="A26" s="230"/>
      <c r="B26" s="231"/>
      <c r="C26" s="232"/>
      <c r="D26" s="232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</row>
    <row r="27" spans="1:16" ht="12.75" hidden="1">
      <c r="A27" s="230"/>
      <c r="B27" s="231"/>
      <c r="C27" s="232"/>
      <c r="D27" s="232"/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</row>
    <row r="28" spans="1:16" ht="12.75" hidden="1">
      <c r="A28" s="230"/>
      <c r="B28" s="231"/>
      <c r="C28" s="232"/>
      <c r="D28" s="232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</row>
    <row r="29" spans="1:16" ht="12.75" hidden="1">
      <c r="A29" s="230"/>
      <c r="B29" s="231"/>
      <c r="C29" s="232"/>
      <c r="D29" s="232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</row>
    <row r="30" spans="1:16" ht="12.75" hidden="1">
      <c r="A30" s="230"/>
      <c r="B30" s="231"/>
      <c r="C30" s="232"/>
      <c r="D30" s="232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</row>
    <row r="31" spans="1:16" ht="12.75" hidden="1">
      <c r="A31" s="230"/>
      <c r="B31" s="231"/>
      <c r="C31" s="232"/>
      <c r="D31" s="232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6" ht="12.75" hidden="1">
      <c r="A32" s="230"/>
      <c r="B32" s="231"/>
      <c r="C32" s="232"/>
      <c r="D32" s="232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</row>
    <row r="33" spans="1:16" ht="12.75" hidden="1">
      <c r="A33" s="230"/>
      <c r="B33" s="231"/>
      <c r="C33" s="232"/>
      <c r="D33" s="232"/>
      <c r="E33" s="174"/>
      <c r="F33" s="174"/>
      <c r="G33" s="174"/>
      <c r="H33" s="174"/>
      <c r="I33" s="174"/>
      <c r="J33" s="174"/>
      <c r="K33" s="174"/>
      <c r="L33" s="174"/>
      <c r="M33" s="174"/>
      <c r="N33" s="174"/>
      <c r="O33" s="174"/>
      <c r="P33" s="174"/>
    </row>
    <row r="34" spans="1:16" ht="12.75" hidden="1">
      <c r="A34" s="230"/>
      <c r="B34" s="231"/>
      <c r="C34" s="232"/>
      <c r="D34" s="232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</row>
    <row r="35" spans="1:16" ht="12.75" hidden="1">
      <c r="A35" s="230"/>
      <c r="B35" s="231"/>
      <c r="C35" s="232"/>
      <c r="D35" s="232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</row>
    <row r="36" spans="1:16" ht="12.75" hidden="1">
      <c r="A36" s="230"/>
      <c r="B36" s="231"/>
      <c r="C36" s="232"/>
      <c r="D36" s="232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</row>
    <row r="37" spans="1:16" ht="12.75" hidden="1">
      <c r="A37" s="230"/>
      <c r="B37" s="231"/>
      <c r="C37" s="232"/>
      <c r="D37" s="232"/>
      <c r="E37" s="174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</row>
    <row r="38" spans="1:16" ht="12.75" hidden="1">
      <c r="A38" s="230"/>
      <c r="B38" s="231"/>
      <c r="C38" s="232"/>
      <c r="D38" s="232"/>
      <c r="E38" s="174"/>
      <c r="F38" s="174"/>
      <c r="G38" s="174"/>
      <c r="H38" s="174"/>
      <c r="I38" s="174"/>
      <c r="J38" s="174"/>
      <c r="K38" s="174"/>
      <c r="L38" s="174"/>
      <c r="M38" s="174"/>
      <c r="N38" s="174"/>
      <c r="O38" s="174"/>
      <c r="P38" s="174"/>
    </row>
    <row r="39" spans="1:16" ht="12.75" hidden="1">
      <c r="A39" s="230"/>
      <c r="B39" s="231"/>
      <c r="C39" s="232"/>
      <c r="D39" s="232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</row>
    <row r="40" spans="1:16" ht="12.75" hidden="1">
      <c r="A40" s="230"/>
      <c r="B40" s="231"/>
      <c r="C40" s="232"/>
      <c r="D40" s="232"/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</row>
    <row r="41" spans="1:16" ht="12.75">
      <c r="A41" s="172"/>
      <c r="B41" s="173"/>
      <c r="C41" s="174"/>
      <c r="D41" s="174"/>
      <c r="E41" s="174"/>
      <c r="F41" s="174"/>
      <c r="G41" s="174"/>
      <c r="H41" s="174"/>
      <c r="I41" s="174"/>
      <c r="J41" s="174"/>
      <c r="K41" s="174"/>
      <c r="L41" s="174"/>
      <c r="M41" s="174"/>
      <c r="N41" s="174"/>
      <c r="O41" s="174"/>
      <c r="P41" s="174"/>
    </row>
    <row r="42" spans="1:16" ht="12.75">
      <c r="A42" s="172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</row>
    <row r="43" spans="1:16" ht="12.75">
      <c r="A43" s="172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</row>
    <row r="44" spans="1:16" ht="12.75">
      <c r="A44" s="172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</row>
    <row r="45" spans="1:16" ht="12.75">
      <c r="A45" s="172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</row>
    <row r="46" spans="1:16" ht="12.75">
      <c r="A46" s="172"/>
      <c r="B46" s="173"/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</row>
    <row r="47" spans="1:16" ht="12.75">
      <c r="A47" s="172"/>
      <c r="B47" s="173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</row>
    <row r="48" spans="1:16" ht="12.75">
      <c r="A48" s="172"/>
      <c r="B48" s="173"/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  <c r="O48" s="174"/>
      <c r="P48" s="174"/>
    </row>
    <row r="49" spans="1:16" ht="12.75">
      <c r="A49" s="172"/>
      <c r="B49" s="173"/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</row>
    <row r="50" spans="1:16" ht="12.75">
      <c r="A50" s="172"/>
      <c r="B50" s="173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</row>
    <row r="51" spans="1:16" ht="12.75">
      <c r="A51" s="172"/>
      <c r="B51" s="173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</row>
    <row r="52" spans="1:16" ht="12.75">
      <c r="A52" s="172"/>
      <c r="B52" s="17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</row>
    <row r="53" spans="1:16" ht="12.75">
      <c r="A53" s="172"/>
      <c r="B53" s="173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</row>
    <row r="54" spans="1:16" ht="12.75">
      <c r="A54" s="172"/>
      <c r="B54" s="173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</row>
    <row r="55" spans="1:16" ht="12.75">
      <c r="A55" s="172"/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</row>
    <row r="56" spans="1:16" ht="12.75">
      <c r="A56" s="172"/>
      <c r="B56" s="173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</row>
    <row r="57" spans="1:16" ht="12.75">
      <c r="A57" s="172"/>
      <c r="B57" s="173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</row>
    <row r="58" spans="1:16" ht="12.75">
      <c r="A58" s="172"/>
      <c r="B58" s="173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</row>
    <row r="59" spans="1:16" ht="12.75">
      <c r="A59" s="172"/>
      <c r="B59" s="173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</row>
    <row r="60" spans="1:16" ht="12.75">
      <c r="A60" s="172"/>
      <c r="B60" s="173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</row>
    <row r="61" spans="1:16" ht="12.75">
      <c r="A61" s="172"/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</row>
    <row r="62" spans="1:16" ht="12.75">
      <c r="A62" s="172"/>
      <c r="B62" s="173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</row>
    <row r="63" spans="1:16" ht="12.75">
      <c r="A63" s="172"/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</row>
    <row r="64" spans="1:16" ht="12.75">
      <c r="A64" s="172"/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</row>
    <row r="65" spans="1:16" ht="12.75">
      <c r="A65" s="172"/>
      <c r="B65" s="173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</row>
  </sheetData>
  <sheetProtection/>
  <printOptions/>
  <pageMargins left="0.73" right="0.19" top="0.38" bottom="1" header="0.27" footer="0.5"/>
  <pageSetup horizontalDpi="600" verticalDpi="600" orientation="landscape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9"/>
  <dimension ref="A1:DC45"/>
  <sheetViews>
    <sheetView zoomScalePageLayoutView="0" workbookViewId="0" topLeftCell="A1">
      <selection activeCell="G10" sqref="G10"/>
    </sheetView>
  </sheetViews>
  <sheetFormatPr defaultColWidth="7.57421875" defaultRowHeight="12.75"/>
  <cols>
    <col min="1" max="1" width="8.57421875" style="40" customWidth="1"/>
    <col min="2" max="2" width="6.28125" style="40" customWidth="1"/>
    <col min="3" max="3" width="0.5625" style="40" customWidth="1"/>
    <col min="4" max="4" width="3.421875" style="40" customWidth="1"/>
    <col min="5" max="8" width="3.28125" style="40" customWidth="1"/>
    <col min="9" max="10" width="3.28125" style="40" hidden="1" customWidth="1"/>
    <col min="11" max="11" width="0.5625" style="40" customWidth="1"/>
    <col min="12" max="16" width="4.140625" style="40" customWidth="1"/>
    <col min="17" max="18" width="4.140625" style="40" hidden="1" customWidth="1"/>
    <col min="19" max="19" width="4.00390625" style="42" hidden="1" customWidth="1"/>
    <col min="20" max="21" width="4.140625" style="40" hidden="1" customWidth="1"/>
    <col min="22" max="23" width="4.140625" style="42" hidden="1" customWidth="1"/>
    <col min="24" max="24" width="4.140625" style="40" hidden="1" customWidth="1"/>
    <col min="25" max="25" width="4.140625" style="42" hidden="1" customWidth="1"/>
    <col min="26" max="40" width="4.57421875" style="40" hidden="1" customWidth="1"/>
    <col min="41" max="41" width="4.57421875" style="42" hidden="1" customWidth="1"/>
    <col min="42" max="46" width="4.57421875" style="40" hidden="1" customWidth="1"/>
    <col min="47" max="47" width="4.57421875" style="42" hidden="1" customWidth="1"/>
    <col min="48" max="52" width="4.57421875" style="40" hidden="1" customWidth="1"/>
    <col min="53" max="53" width="4.57421875" style="42" hidden="1" customWidth="1"/>
    <col min="54" max="58" width="4.57421875" style="40" hidden="1" customWidth="1"/>
    <col min="59" max="59" width="4.57421875" style="42" hidden="1" customWidth="1"/>
    <col min="60" max="65" width="4.57421875" style="40" hidden="1" customWidth="1"/>
    <col min="66" max="66" width="14.8515625" style="43" hidden="1" customWidth="1"/>
    <col min="67" max="77" width="4.57421875" style="43" hidden="1" customWidth="1"/>
    <col min="78" max="78" width="18.7109375" style="43" hidden="1" customWidth="1"/>
    <col min="79" max="87" width="4.57421875" style="43" hidden="1" customWidth="1"/>
    <col min="88" max="88" width="0.5625" style="40" customWidth="1"/>
    <col min="89" max="89" width="6.421875" style="40" customWidth="1"/>
    <col min="90" max="94" width="3.140625" style="40" customWidth="1"/>
    <col min="95" max="95" width="1.57421875" style="40" customWidth="1"/>
    <col min="96" max="98" width="7.57421875" style="40" hidden="1" customWidth="1"/>
    <col min="99" max="99" width="36.421875" style="40" hidden="1" customWidth="1"/>
    <col min="100" max="100" width="26.28125" style="40" hidden="1" customWidth="1"/>
    <col min="101" max="101" width="7.57421875" style="40" hidden="1" customWidth="1"/>
    <col min="102" max="102" width="7.00390625" style="44" hidden="1" customWidth="1"/>
    <col min="103" max="103" width="14.28125" style="44" hidden="1" customWidth="1"/>
    <col min="104" max="104" width="71.7109375" style="44" hidden="1" customWidth="1"/>
    <col min="105" max="105" width="39.140625" style="44" hidden="1" customWidth="1"/>
    <col min="106" max="106" width="7.8515625" style="44" hidden="1" customWidth="1"/>
    <col min="107" max="134" width="7.57421875" style="40" customWidth="1"/>
    <col min="135" max="135" width="10.00390625" style="40" customWidth="1"/>
    <col min="136" max="16384" width="7.57421875" style="40" customWidth="1"/>
  </cols>
  <sheetData>
    <row r="1" spans="1:89" ht="26.25">
      <c r="A1" s="39" t="s">
        <v>30</v>
      </c>
      <c r="D1" s="41"/>
      <c r="E1" s="41" t="str">
        <f>IF(Rajtlista!E1="Töltsd ki","Ne ezt töltsd ki",Rajtlista!E1)</f>
        <v>Boogie - Woogie</v>
      </c>
      <c r="CK1" s="244" t="s">
        <v>88</v>
      </c>
    </row>
    <row r="2" spans="1:5" ht="6" customHeight="1">
      <c r="A2" s="39"/>
      <c r="D2" s="41"/>
      <c r="E2" s="41"/>
    </row>
    <row r="3" spans="1:10" ht="6" customHeight="1">
      <c r="A3" s="39"/>
      <c r="D3" s="41"/>
      <c r="H3" s="41"/>
      <c r="I3" s="41"/>
      <c r="J3" s="41"/>
    </row>
    <row r="4" spans="1:106" ht="5.25" customHeight="1">
      <c r="A4" s="105"/>
      <c r="D4" s="41"/>
      <c r="E4" s="41"/>
      <c r="CX4" s="45"/>
      <c r="CY4" s="45"/>
      <c r="CZ4" s="45"/>
      <c r="DA4" s="45"/>
      <c r="DB4" s="45"/>
    </row>
    <row r="5" spans="1:106" ht="26.25">
      <c r="A5" s="46" t="s">
        <v>31</v>
      </c>
      <c r="B5" s="47"/>
      <c r="D5" s="129" t="s">
        <v>84</v>
      </c>
      <c r="E5" s="48"/>
      <c r="F5" s="48"/>
      <c r="G5" s="48"/>
      <c r="H5" s="48"/>
      <c r="I5" s="48"/>
      <c r="J5" s="48"/>
      <c r="L5" s="71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R5" s="50" t="s">
        <v>62</v>
      </c>
      <c r="CX5" s="45"/>
      <c r="CY5" s="106"/>
      <c r="CZ5" s="106"/>
      <c r="DA5" s="106"/>
      <c r="DB5" s="45"/>
    </row>
    <row r="6" spans="1:106" ht="9.75" customHeight="1">
      <c r="A6" s="51"/>
      <c r="B6" s="47"/>
      <c r="D6" s="48"/>
      <c r="E6" s="48"/>
      <c r="F6" s="48"/>
      <c r="G6" s="48"/>
      <c r="H6" s="48"/>
      <c r="I6" s="48"/>
      <c r="J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X6" s="107"/>
      <c r="CY6" s="45"/>
      <c r="CZ6" s="45"/>
      <c r="DA6" s="45"/>
      <c r="DB6" s="45"/>
    </row>
    <row r="7" spans="1:106" ht="18.75" thickBot="1">
      <c r="A7" s="52"/>
      <c r="B7" s="53" t="s">
        <v>32</v>
      </c>
      <c r="D7" s="218" t="s">
        <v>8</v>
      </c>
      <c r="E7" s="218" t="s">
        <v>9</v>
      </c>
      <c r="F7" s="218" t="s">
        <v>10</v>
      </c>
      <c r="G7" s="218" t="s">
        <v>11</v>
      </c>
      <c r="H7" s="218" t="s">
        <v>12</v>
      </c>
      <c r="I7" s="53" t="s">
        <v>33</v>
      </c>
      <c r="J7" s="53" t="s">
        <v>34</v>
      </c>
      <c r="L7" s="54">
        <v>1</v>
      </c>
      <c r="M7" s="54" t="s">
        <v>35</v>
      </c>
      <c r="N7" s="54" t="s">
        <v>36</v>
      </c>
      <c r="O7" s="54" t="s">
        <v>37</v>
      </c>
      <c r="P7" s="54" t="s">
        <v>38</v>
      </c>
      <c r="Q7" s="54" t="s">
        <v>39</v>
      </c>
      <c r="R7" s="54" t="s">
        <v>40</v>
      </c>
      <c r="S7" s="55"/>
      <c r="T7" s="56"/>
      <c r="U7" s="57"/>
      <c r="V7" s="57"/>
      <c r="W7" s="57"/>
      <c r="X7" s="56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8" t="s">
        <v>41</v>
      </c>
      <c r="CL7" s="57"/>
      <c r="CM7" s="57"/>
      <c r="CN7" s="57"/>
      <c r="CO7" s="57"/>
      <c r="CP7" s="57"/>
      <c r="CS7" s="59" t="s">
        <v>41</v>
      </c>
      <c r="CT7" s="59" t="s">
        <v>32</v>
      </c>
      <c r="CU7" s="59" t="s">
        <v>1</v>
      </c>
      <c r="CV7" s="59" t="s">
        <v>42</v>
      </c>
      <c r="CX7" s="107"/>
      <c r="CY7" s="45"/>
      <c r="CZ7" s="45"/>
      <c r="DA7" s="45"/>
      <c r="DB7" s="45"/>
    </row>
    <row r="8" spans="1:106" ht="27" thickBot="1">
      <c r="A8" s="60">
        <f>IF(ISNUMBER(B8)=TRUE,1,"")</f>
        <v>1</v>
      </c>
      <c r="B8" s="118">
        <f>Dont_rajtl!B4</f>
        <v>3</v>
      </c>
      <c r="D8" s="219">
        <v>5</v>
      </c>
      <c r="E8" s="220">
        <v>4</v>
      </c>
      <c r="F8" s="220">
        <v>4</v>
      </c>
      <c r="G8" s="220">
        <v>4</v>
      </c>
      <c r="H8" s="221">
        <v>4</v>
      </c>
      <c r="I8" s="217"/>
      <c r="J8" s="61"/>
      <c r="L8" s="62">
        <f aca="true" t="shared" si="0" ref="L8:L14">IF(COUNTBLANK(D8:H8)=0,COUNTIF(D8:H8,1),"")</f>
        <v>0</v>
      </c>
      <c r="M8" s="62">
        <f aca="true" t="shared" si="1" ref="M8:M14">IF(COUNTBLANK(D8:H8)=0,COUNTIF(D8:H8,"&lt;=2"),"")</f>
        <v>0</v>
      </c>
      <c r="N8" s="62">
        <f aca="true" t="shared" si="2" ref="N8:N14">IF(COUNTBLANK(D8:H8)=0,COUNTIF(D8:H8,"&lt;=3"),"")</f>
        <v>0</v>
      </c>
      <c r="O8" s="62">
        <f aca="true" t="shared" si="3" ref="O8:O14">IF(COUNTBLANK(D8:H8)=0,COUNTIF(D8:H8,"&lt;=4"),"")</f>
        <v>4</v>
      </c>
      <c r="P8" s="62">
        <f aca="true" t="shared" si="4" ref="P8:P14">IF(COUNTBLANK(D8:H8)=0,COUNTIF(D8:H8,"&lt;=5"),"")</f>
        <v>5</v>
      </c>
      <c r="Q8" s="62">
        <f aca="true" t="shared" si="5" ref="Q8:Q14">IF(COUNTBLANK(D8:H8)=0,COUNTIF(D8:H8,"&lt;=6"),"")</f>
        <v>5</v>
      </c>
      <c r="R8" s="62">
        <f aca="true" t="shared" si="6" ref="R8:R14">IF(COUNTBLANK(D8:H8)=0,COUNTIF(D8:H8,"&lt;=7"),"")</f>
        <v>5</v>
      </c>
      <c r="S8" s="63"/>
      <c r="T8" s="62">
        <f aca="true" t="shared" si="7" ref="T8:T14">IF(L8&gt;=3,1,IF(M8&gt;=3,2,IF(N8&gt;=3,3,IF(O8&gt;=3,4,IF(P8&gt;=3,5,IF(Q8&gt;=3,6,IF(R8&gt;=3,7,"")))))))</f>
        <v>4</v>
      </c>
      <c r="U8" s="63"/>
      <c r="V8" s="62" t="str">
        <f aca="true" t="shared" si="8" ref="V8:V14">IF(T8=1,"L",IF(T8=2,"M",IF(T8=3,"N",IF(T8=4,"O",IF(T8=5,"P",IF(T8=6,"Q","R"))))))</f>
        <v>O</v>
      </c>
      <c r="W8" s="63"/>
      <c r="X8" s="62">
        <f ca="1">INDIRECT(CONCATENATE(IF(T8=1,"L",IF(T8=2,"M",IF(T8=3,"N",IF(T8=4,"O",IF(T8=5,"P",IF(T8=6,"Q","R")))))),8))</f>
        <v>4</v>
      </c>
      <c r="Y8" s="62">
        <f>10-X8</f>
        <v>6</v>
      </c>
      <c r="Z8" s="64"/>
      <c r="AA8" s="65" t="str">
        <f aca="true" t="shared" si="9" ref="AA8:AA14">CONCATENATE(0,IF(V8="L",SUMIF(D8:J8,1),IF(V8="M",SUMIF(D8:J8,"&lt;=2"),IF(V8="N",SUMIF(D8:J8,"&lt;=3"),IF(V8="O",SUMIF(D8:J8,"&lt;=4"),IF(V8="P",SUMIF(D8:J8,"&lt;=5"),IF(V8="Q",SUMIF(D8:J8,"&lt;=6"),SUMIF(D8:J8,"&lt;=7"))))))))</f>
        <v>016</v>
      </c>
      <c r="AB8" s="62">
        <f aca="true" t="shared" si="10" ref="AB8:AB14">IF(IF(V8="L",SUMIF(D8:J8,1),IF(V8="M",SUMIF(D8:J8,"&lt;=2"),IF(V8="N",SUMIF(D8:J8,"&lt;=3"),IF(V8="O",SUMIF(D8:J8,"&lt;=4"),IF(V8="P",SUMIF(D8:J8,"&lt;=5"),IF(V8="Q",SUMIF(D8:J8,"&lt;=6"),SUMIF(D8:J8,"&lt;=7")))))))&gt;=10,IF(V8="L",SUMIF(D8:J8,1),IF(V8="M",SUMIF(D8:J8,"&lt;=2"),IF(V8="N",SUMIF(D8:J8,"&lt;=3"),IF(V8="O",SUMIF(D8:J8,"&lt;=4"),IF(V8="P",SUMIF(D8:J8,"&lt;=5"),IF(V8="Q",SUMIF(D8:J8,"&lt;=6"),SUMIF(D8:J8,"&lt;=7"))))))),AA8)</f>
        <v>16</v>
      </c>
      <c r="AC8" s="66"/>
      <c r="AD8" s="62">
        <f ca="1">INDIRECT(CONCATENATE(IF(T8=1,"M",IF(T8=2,"N",IF(T8=3,"O",IF(T8=4,"P",IF(T8=5,"Q","R"))))),8))</f>
        <v>5</v>
      </c>
      <c r="AE8" s="62">
        <f aca="true" t="shared" si="11" ref="AE8:AE14">10-AD8</f>
        <v>5</v>
      </c>
      <c r="AF8" s="66"/>
      <c r="AG8" s="65" t="str">
        <f aca="true" t="shared" si="12" ref="AG8:AG14">CONCATENATE(0,IF(V8="L",SUMIF(D8:J8,"&lt;=2"),IF(V8="M",SUMIF(D8:J8,"&lt;=3"),IF(V8="N",SUMIF(D8:J8,"&lt;=4"),IF(V8="O",SUMIF(D8:J8,"&lt;=5"),IF(V8="P",SUMIF(D8:J8,"&lt;=6"),SUMIF(D8:J8,"&lt;=7")))))))</f>
        <v>021</v>
      </c>
      <c r="AH8" s="62">
        <f aca="true" t="shared" si="13" ref="AH8:AH14">IF(IF(V8="L",SUMIF(D8:J8,"&lt;=2"),IF(V8="M",SUMIF(D8:J8,"&lt;=3"),IF(V8="N",SUMIF(D8:J8,"&lt;=4"),IF(V8="O",SUMIF(D8:J8,"&lt;=5"),IF(V8="P",SUMIF(D8:J8,"&lt;=6"),SUMIF(D8:J8,"&lt;=7"))))))&gt;=10,IF(V8="L",SUMIF(D8:J8,"&lt;=2"),IF(V8="M",SUMIF(D8:J8,"&lt;=3"),IF(V8="N",SUMIF(D8:J8,"&lt;=4"),IF(V8="O",SUMIF(D8:J8,"&lt;=5"),IF(V8="P",SUMIF(D8:J8,"&lt;=6"),SUMIF(D8:J8,"&lt;=7")))))),AG8)</f>
        <v>21</v>
      </c>
      <c r="AI8" s="67"/>
      <c r="AJ8" s="62">
        <f ca="1">INDIRECT(CONCATENATE(IF(T8=1,"N",IF(T8=2,"O",IF(T8=3,"P",IF(T8=4,"Q","R")))),8))</f>
        <v>5</v>
      </c>
      <c r="AK8" s="62">
        <f>10-AJ8</f>
        <v>5</v>
      </c>
      <c r="AL8" s="67"/>
      <c r="AM8" s="65" t="str">
        <f aca="true" t="shared" si="14" ref="AM8:AM14">CONCATENATE(0,IF(V8="L",SUMIF(D8:J8,"&lt;=3"),IF(V8="M",SUMIF(D8:J8,"&lt;=4"),IF(V8="N",SUMIF(D8:J8,"&lt;=5"),IF(V8="O",SUMIF(D8:J8,"&lt;=6"),SUMIF(D8:J8,"&lt;=7"))))))</f>
        <v>021</v>
      </c>
      <c r="AN8" s="62">
        <f aca="true" t="shared" si="15" ref="AN8:AN14">IF(IF(V8="L",SUMIF(D8:J8,"&lt;=3"),IF(V8="M",SUMIF(D8:J8,"&lt;=4"),IF(V8="N",SUMIF(D8:J8,"&lt;=5"),IF(V8="O",SUMIF(D8:J8,"&lt;=6"),SUMIF(D8:J8,"&lt;=7")))))&gt;=10,IF(V8="L",SUMIF(D8:J8,"&lt;=3"),IF(V8="M",SUMIF(D8:J8,"&lt;=4"),IF(V8="N",SUMIF(D8:J8,"&lt;=5"),IF(V8="O",SUMIF(D8:J8,"&lt;=6"),SUMIF(D8:J8,"&lt;=7"))))),AM8)</f>
        <v>21</v>
      </c>
      <c r="AO8" s="66"/>
      <c r="AP8" s="62">
        <f ca="1">INDIRECT(CONCATENATE(IF(T8=1,"O",IF(T8=2,"P",IF(T8=3,"Q","R"))),8))</f>
        <v>5</v>
      </c>
      <c r="AQ8" s="62">
        <f>10-AP8</f>
        <v>5</v>
      </c>
      <c r="AR8" s="67"/>
      <c r="AS8" s="65" t="str">
        <f aca="true" t="shared" si="16" ref="AS8:AS14">CONCATENATE(0,IF(V8="L",SUMIF(D8:J8,"&lt;=4"),IF(V8="M",SUMIF(D8:J8,"&lt;=5"),IF(V8="N",SUMIF(D8:J8,"&lt;=6"),SUMIF(D8:J8,"&lt;=7")))))</f>
        <v>021</v>
      </c>
      <c r="AT8" s="62">
        <f aca="true" t="shared" si="17" ref="AT8:AT14">IF(IF(V8="L",SUMIF(D8:J8,"&lt;=4"),IF(V8="M",SUMIF(D8:J8,"&lt;=5"),IF(V8="N",SUMIF(D8:J8,"&lt;=6"),SUMIF(D8:J8,"&lt;=7"))))&gt;=10,IF(V8="L",SUMIF(D8:J8,"&lt;=4"),IF(V8="M",SUMIF(D8:J8,"&lt;=5"),IF(V8="N",SUMIF(D8:J8,"&lt;=6"),SUMIF(D8:J8,"&lt;=7")))),AS8)</f>
        <v>21</v>
      </c>
      <c r="AU8" s="66"/>
      <c r="AV8" s="62">
        <f ca="1">INDIRECT(CONCATENATE(IF(T8=1,"P",IF(T8=2,"Q","R")),8))</f>
        <v>5</v>
      </c>
      <c r="AW8" s="62">
        <f>10-AV8</f>
        <v>5</v>
      </c>
      <c r="AX8" s="67"/>
      <c r="AY8" s="65" t="str">
        <f aca="true" t="shared" si="18" ref="AY8:AY14">CONCATENATE(0,IF(V8="L",SUMIF(D8:J8,"&lt;=5"),IF(V8="M",SUMIF(D8:J8,"&lt;=6"),SUMIF(D8:J8,"&lt;=7"))))</f>
        <v>021</v>
      </c>
      <c r="AZ8" s="62">
        <f aca="true" t="shared" si="19" ref="AZ8:AZ14">IF(IF(V8="L",SUMIF(D8:J8,"&lt;=5"),IF(V8="M",SUMIF(D8:J8,"&lt;=6"),SUMIF(D8:J8,"&lt;=7")))&gt;=10,IF(V8="L",SUMIF(D8:J8,"&lt;=5"),IF(V8="M",SUMIF(D8:J8,"&lt;=6"),SUMIF(D8:J8,"&lt;=7"))),AY8)</f>
        <v>21</v>
      </c>
      <c r="BA8" s="66"/>
      <c r="BB8" s="62">
        <f ca="1">INDIRECT(CONCATENATE(IF(T8=1,"Q","R"),8))</f>
        <v>5</v>
      </c>
      <c r="BC8" s="62">
        <f>10-BB8</f>
        <v>5</v>
      </c>
      <c r="BD8" s="67"/>
      <c r="BE8" s="65" t="str">
        <f aca="true" t="shared" si="20" ref="BE8:BE14">CONCATENATE(0,IF(V8="L",SUMIF(D8:J8,"&lt;=6"),SUMIF(D8:J8,"&lt;=7")))</f>
        <v>021</v>
      </c>
      <c r="BF8" s="62">
        <f aca="true" t="shared" si="21" ref="BF8:BF14">IF(IF(V8="L",SUMIF(D8:J8,"&lt;=6"),SUMIF(D8:J8,"&lt;=7"))&gt;=10,IF(V8="L",SUMIF(D8:J8,"&lt;=6"),SUMIF(D8:J8,"&lt;=7")),BE8)</f>
        <v>21</v>
      </c>
      <c r="BG8" s="66"/>
      <c r="BH8" s="62">
        <f ca="1">INDIRECT(CONCATENATE("R",8))</f>
        <v>5</v>
      </c>
      <c r="BI8" s="62">
        <f>10-BH8</f>
        <v>5</v>
      </c>
      <c r="BJ8" s="67"/>
      <c r="BK8" s="65" t="str">
        <f>CONCATENATE(0,SUMIF(D8:J8,"&lt;=7"))</f>
        <v>021</v>
      </c>
      <c r="BL8" s="62">
        <f>IF(SUMIF(D8:J8,"&lt;=7")&gt;=10,SUMIF(D8:J8,"&lt;=7"),BK8)</f>
        <v>21</v>
      </c>
      <c r="BM8" s="66"/>
      <c r="BN8" s="68">
        <f>CONCATENATE(T8,Y8,AB8,AE8,AH8,AK8,AN8)/1000</f>
        <v>4616521.521</v>
      </c>
      <c r="BO8" s="69"/>
      <c r="BP8" s="70" t="str">
        <f>IF(F20=1,IF(ISERR(BN8)=TRUE,"",RANK(BN8,BN8:BN8,1)),"0")</f>
        <v>0</v>
      </c>
      <c r="BQ8" s="70" t="str">
        <f>IF(F20=2,IF(ISERR(BN8)=TRUE,"",RANK(BN8,BN8:BN9,1)),"0")</f>
        <v>0</v>
      </c>
      <c r="BR8" s="70" t="str">
        <f>IF(F20=3,IF(ISERR(BN8)=TRUE,"",RANK(BN8,BN8:BN10,1)),"0")</f>
        <v>0</v>
      </c>
      <c r="BS8" s="70" t="str">
        <f>IF(F20=4,IF(ISERR(BN8)=TRUE,"",RANK(BN8,BN8:BN11,1)),"0")</f>
        <v>0</v>
      </c>
      <c r="BT8" s="70">
        <f>IF(F20=5,IF(ISERR(BN8)=TRUE,"",RANK(BN8,BN8:BN12,1)),"0")</f>
        <v>4</v>
      </c>
      <c r="BU8" s="70" t="str">
        <f>IF(F20=6,IF(ISERR(BN8)=TRUE,"",RANK(BN8,BN8:BN13,1)),"0")</f>
        <v>0</v>
      </c>
      <c r="BV8" s="70" t="str">
        <f>IF(F20=7,IF(ISERR(BN8)=TRUE,"",RANK(BN8,BN8:BN14,1)),"0")</f>
        <v>0</v>
      </c>
      <c r="BW8" s="70"/>
      <c r="BX8" s="70">
        <f>SUM(BO8:BV8)</f>
        <v>4</v>
      </c>
      <c r="BY8" s="69"/>
      <c r="BZ8" s="68">
        <f aca="true" t="shared" si="22" ref="BZ8:BZ14">CONCATENATE(BX8,AQ8,AT8,AW8,AZ8,BC8,BF8,BI8,BL8)/1000</f>
        <v>4521521521.521</v>
      </c>
      <c r="CA8" s="68"/>
      <c r="CB8" s="70" t="str">
        <f>IF(F20=1,IF(ISERR(BZ8)=TRUE,"",RANK(BZ8,BZ8:BZ8,1)),"0")</f>
        <v>0</v>
      </c>
      <c r="CC8" s="70" t="str">
        <f>IF(F20=2,IF(ISERR(BZ8)=TRUE,"",RANK(BZ8,BZ8:BZ9,1)),"0")</f>
        <v>0</v>
      </c>
      <c r="CD8" s="70" t="str">
        <f>IF(F20=3,IF(ISERR(BZ8)=TRUE,"",RANK(BZ8,BZ8:BZ10,1)),"0")</f>
        <v>0</v>
      </c>
      <c r="CE8" s="70" t="str">
        <f>IF(F20=4,IF(ISERR(BZ8)=TRUE,"",RANK(BZ8,BZ8:BZ11,1)),"0")</f>
        <v>0</v>
      </c>
      <c r="CF8" s="70">
        <f>IF(F20=5,IF(ISERR(BZ8)=TRUE,"",RANK(BZ8,BZ8:BZ12,1)),"0")</f>
        <v>4</v>
      </c>
      <c r="CG8" s="70" t="str">
        <f>IF(F20=6,IF(ISERR(BZ8)=TRUE,"",RANK(BZ8,BZ8:BZ13,1)),"0")</f>
        <v>0</v>
      </c>
      <c r="CH8" s="70" t="str">
        <f>IF(F20=7,IF(ISERR(BZ8)=TRUE,"",RANK(BZ8,BZ8:BZ14,1)),"0")</f>
        <v>0</v>
      </c>
      <c r="CI8" s="70"/>
      <c r="CJ8" s="66"/>
      <c r="CK8" s="119">
        <f>IF(SUM(CB8:CH8)&gt;0,SUM(CB8:CH8),"")</f>
        <v>4</v>
      </c>
      <c r="CL8" s="48"/>
      <c r="CM8" s="48">
        <f>IF(ISNUMBER(CK8)=TRUE,IF(COUNTIF(CK8:CK14,CK8)=1,"","!!!"),"")</f>
      </c>
      <c r="CN8" s="71">
        <f>IF(CM8="!!!","Holtverseny","")</f>
      </c>
      <c r="CO8" s="48"/>
      <c r="CP8" s="48"/>
      <c r="CS8" s="72">
        <f aca="true" t="shared" si="23" ref="CS8:CS14">IF(ISBLANK(CK8)=TRUE,"",CK8)</f>
        <v>4</v>
      </c>
      <c r="CT8" s="73">
        <f aca="true" t="shared" si="24" ref="CT8:CT14">IF(ISBLANK(B8)=TRUE,"",B8)</f>
        <v>3</v>
      </c>
      <c r="CU8" s="74" t="str">
        <f>Dont_rajtl!C6</f>
        <v>DÁNIEL Balázs - KELEMEN Patrícia</v>
      </c>
      <c r="CV8" s="108" t="str">
        <f>Dont_rajtl!D6</f>
        <v>Platina TSE, Győr</v>
      </c>
      <c r="CX8" s="110">
        <f aca="true" t="shared" si="25" ref="CX8:CX14">VALUE(CS8)</f>
        <v>4</v>
      </c>
      <c r="CY8" s="110">
        <f aca="true" t="shared" si="26" ref="CY8:CY14">VALUE(CT8)</f>
        <v>3</v>
      </c>
      <c r="CZ8" s="110" t="str">
        <f aca="true" t="shared" si="27" ref="CZ8:DA14">TRIM(CU8)</f>
        <v>DÁNIEL Balázs - KELEMEN Patrícia</v>
      </c>
      <c r="DA8" s="110" t="str">
        <f t="shared" si="27"/>
        <v>Platina TSE, Győr</v>
      </c>
      <c r="DB8" s="45"/>
    </row>
    <row r="9" spans="1:106" ht="27" thickBot="1">
      <c r="A9" s="60">
        <f>IF(ISNUMBER(B9)=TRUE,2,"")</f>
        <v>2</v>
      </c>
      <c r="B9" s="118">
        <f>Dont_rajtl!B6</f>
        <v>10</v>
      </c>
      <c r="D9" s="222">
        <v>4</v>
      </c>
      <c r="E9" s="61">
        <v>5</v>
      </c>
      <c r="F9" s="61">
        <v>5</v>
      </c>
      <c r="G9" s="61">
        <v>5</v>
      </c>
      <c r="H9" s="223">
        <v>5</v>
      </c>
      <c r="I9" s="217"/>
      <c r="J9" s="61"/>
      <c r="L9" s="62">
        <f t="shared" si="0"/>
        <v>0</v>
      </c>
      <c r="M9" s="62">
        <f t="shared" si="1"/>
        <v>0</v>
      </c>
      <c r="N9" s="62">
        <f t="shared" si="2"/>
        <v>0</v>
      </c>
      <c r="O9" s="62">
        <f t="shared" si="3"/>
        <v>1</v>
      </c>
      <c r="P9" s="62">
        <f t="shared" si="4"/>
        <v>5</v>
      </c>
      <c r="Q9" s="62">
        <f t="shared" si="5"/>
        <v>5</v>
      </c>
      <c r="R9" s="62">
        <f t="shared" si="6"/>
        <v>5</v>
      </c>
      <c r="S9" s="63"/>
      <c r="T9" s="62">
        <f t="shared" si="7"/>
        <v>5</v>
      </c>
      <c r="U9" s="63"/>
      <c r="V9" s="62" t="str">
        <f t="shared" si="8"/>
        <v>P</v>
      </c>
      <c r="W9" s="63"/>
      <c r="X9" s="62">
        <f ca="1">INDIRECT(CONCATENATE(IF(T9=1,"L",IF(T9=2,"M",IF(T9=3,"N",IF(T9=4,"O",IF(T9=5,"P",IF(T9=6,"Q","R")))))),9))</f>
        <v>5</v>
      </c>
      <c r="Y9" s="62">
        <f aca="true" t="shared" si="28" ref="Y9:Y14">10-X9</f>
        <v>5</v>
      </c>
      <c r="Z9" s="64"/>
      <c r="AA9" s="65" t="str">
        <f t="shared" si="9"/>
        <v>024</v>
      </c>
      <c r="AB9" s="62">
        <f t="shared" si="10"/>
        <v>24</v>
      </c>
      <c r="AC9" s="66"/>
      <c r="AD9" s="62">
        <f ca="1">INDIRECT(CONCATENATE(IF(T9=1,"M",IF(T9=2,"N",IF(T9=3,"O",IF(T9=4,"P",IF(T9=5,"Q","R"))))),9))</f>
        <v>5</v>
      </c>
      <c r="AE9" s="62">
        <f t="shared" si="11"/>
        <v>5</v>
      </c>
      <c r="AF9" s="66"/>
      <c r="AG9" s="65" t="str">
        <f t="shared" si="12"/>
        <v>024</v>
      </c>
      <c r="AH9" s="62">
        <f t="shared" si="13"/>
        <v>24</v>
      </c>
      <c r="AI9" s="67"/>
      <c r="AJ9" s="62">
        <f ca="1">INDIRECT(CONCATENATE(IF(T9=1,"N",IF(T9=2,"O",IF(T9=3,"P",IF(T9=4,"Q","R")))),9))</f>
        <v>5</v>
      </c>
      <c r="AK9" s="62">
        <f aca="true" t="shared" si="29" ref="AK9:AK14">10-AJ9</f>
        <v>5</v>
      </c>
      <c r="AL9" s="67"/>
      <c r="AM9" s="65" t="str">
        <f t="shared" si="14"/>
        <v>024</v>
      </c>
      <c r="AN9" s="62">
        <f t="shared" si="15"/>
        <v>24</v>
      </c>
      <c r="AO9" s="66"/>
      <c r="AP9" s="62">
        <f ca="1">INDIRECT(CONCATENATE(IF(T9=1,"O",IF(T9=2,"P",IF(T9=3,"Q","R"))),9))</f>
        <v>5</v>
      </c>
      <c r="AQ9" s="62">
        <f aca="true" t="shared" si="30" ref="AQ9:AQ14">10-AP9</f>
        <v>5</v>
      </c>
      <c r="AR9" s="67"/>
      <c r="AS9" s="65" t="str">
        <f t="shared" si="16"/>
        <v>024</v>
      </c>
      <c r="AT9" s="62">
        <f t="shared" si="17"/>
        <v>24</v>
      </c>
      <c r="AU9" s="66"/>
      <c r="AV9" s="62">
        <f ca="1">INDIRECT(CONCATENATE(IF(T9=1,"P",IF(T9=2,"Q","R")),9))</f>
        <v>5</v>
      </c>
      <c r="AW9" s="62">
        <f aca="true" t="shared" si="31" ref="AW9:AW14">10-AV9</f>
        <v>5</v>
      </c>
      <c r="AX9" s="67"/>
      <c r="AY9" s="65" t="str">
        <f t="shared" si="18"/>
        <v>024</v>
      </c>
      <c r="AZ9" s="62">
        <f t="shared" si="19"/>
        <v>24</v>
      </c>
      <c r="BA9" s="66"/>
      <c r="BB9" s="62">
        <f ca="1">INDIRECT(CONCATENATE(IF(T9=1,"Q","R"),9))</f>
        <v>5</v>
      </c>
      <c r="BC9" s="62">
        <f aca="true" t="shared" si="32" ref="BC9:BC14">10-BB9</f>
        <v>5</v>
      </c>
      <c r="BD9" s="67"/>
      <c r="BE9" s="65" t="str">
        <f t="shared" si="20"/>
        <v>024</v>
      </c>
      <c r="BF9" s="62">
        <f t="shared" si="21"/>
        <v>24</v>
      </c>
      <c r="BG9" s="66"/>
      <c r="BH9" s="62">
        <f ca="1" t="shared" si="33" ref="BH9:BH14">INDIRECT(CONCATENATE("R",8))</f>
        <v>5</v>
      </c>
      <c r="BI9" s="62">
        <f aca="true" t="shared" si="34" ref="BI9:BI14">10-BH9</f>
        <v>5</v>
      </c>
      <c r="BJ9" s="67"/>
      <c r="BK9" s="65" t="str">
        <f aca="true" t="shared" si="35" ref="BK9:BK14">CONCATENATE(0,SUMIF(D9:J9,"&lt;=7"))</f>
        <v>024</v>
      </c>
      <c r="BL9" s="62">
        <f aca="true" t="shared" si="36" ref="BL9:BL14">IF(SUMIF(D9:J9,"&lt;=7")&gt;=10,SUMIF(D9:J9,"&lt;=7"),BK9)</f>
        <v>24</v>
      </c>
      <c r="BM9" s="66"/>
      <c r="BN9" s="68">
        <f aca="true" t="shared" si="37" ref="BN9:BN14">CONCATENATE(T9,Y9,AB9,AE9,AH9,AK9,AN9)/1000</f>
        <v>5524524.524</v>
      </c>
      <c r="BO9" s="69"/>
      <c r="BP9" s="70"/>
      <c r="BQ9" s="70" t="str">
        <f>IF(F20=2,IF(ISERR(BN9)=TRUE,"",RANK(BN9,BN8:BN9,1)),"0")</f>
        <v>0</v>
      </c>
      <c r="BR9" s="70" t="str">
        <f>IF(F20=3,IF(ISERR(BN9)=TRUE,"",RANK(BN9,BN8:BN10,1)),"0")</f>
        <v>0</v>
      </c>
      <c r="BS9" s="70" t="str">
        <f>IF(F20=4,IF(ISERR(BN9)=TRUE,"",RANK(BN9,BN8:BN11,1)),"0")</f>
        <v>0</v>
      </c>
      <c r="BT9" s="70">
        <f>IF(F20=5,IF(ISERR(BN9)=TRUE,"",RANK(BN9,BN8:BN12,1)),"0")</f>
        <v>5</v>
      </c>
      <c r="BU9" s="70" t="str">
        <f>IF(F20=6,IF(ISERR(BN9)=TRUE,"",RANK(BN9,BN8:BN13,1)),"0")</f>
        <v>0</v>
      </c>
      <c r="BV9" s="70" t="str">
        <f>IF(F20=7,IF(ISERR(BN9)=TRUE,"",RANK(BN9,BN8:BN14,1)),"0")</f>
        <v>0</v>
      </c>
      <c r="BW9" s="70"/>
      <c r="BX9" s="70">
        <f aca="true" t="shared" si="38" ref="BX9:BX14">SUM(BO9:BV9)</f>
        <v>5</v>
      </c>
      <c r="BY9" s="69"/>
      <c r="BZ9" s="68">
        <f t="shared" si="22"/>
        <v>5524524524.524</v>
      </c>
      <c r="CA9" s="68"/>
      <c r="CB9" s="70"/>
      <c r="CC9" s="70" t="str">
        <f>IF(F20=2,IF(ISERR(BZ9)=TRUE,"",RANK(BZ9,BZ8:BZ9,1)),"0")</f>
        <v>0</v>
      </c>
      <c r="CD9" s="70" t="str">
        <f>IF(F20=3,IF(ISERR(BZ9)=TRUE,"",RANK(BZ9,BZ8:BZ10,1)),"0")</f>
        <v>0</v>
      </c>
      <c r="CE9" s="70" t="str">
        <f>IF(F20=4,IF(ISERR(BZ9)=TRUE,"",RANK(BZ9,BZ8:BZ11,1)),"0")</f>
        <v>0</v>
      </c>
      <c r="CF9" s="70">
        <f>IF(F20=5,IF(ISERR(BZ9)=TRUE,"",RANK(BZ9,BZ8:BZ12,1)),"0")</f>
        <v>5</v>
      </c>
      <c r="CG9" s="70" t="str">
        <f>IF(F20=6,IF(ISERR(BZ9)=TRUE,"",RANK(BZ9,BZ8:BZ13,1)),"0")</f>
        <v>0</v>
      </c>
      <c r="CH9" s="70" t="str">
        <f>IF(F20=7,IF(ISERR(BZ9)=TRUE,"",RANK(BZ9,BZ8:BZ14,1)),"0")</f>
        <v>0</v>
      </c>
      <c r="CI9" s="70"/>
      <c r="CJ9" s="66"/>
      <c r="CK9" s="119">
        <f aca="true" t="shared" si="39" ref="CK9:CK14">IF(SUM(CB9:CH9)&gt;0,SUM(CB9:CH9),"")</f>
        <v>5</v>
      </c>
      <c r="CL9" s="48"/>
      <c r="CM9" s="48">
        <f>IF(ISNUMBER(CK9)=TRUE,IF(COUNTIF(CK8:CK14,CK9)=1,"","!!!"),"")</f>
      </c>
      <c r="CN9" s="71">
        <f aca="true" t="shared" si="40" ref="CN9:CN14">IF(CM9="!!!","Holtverseny","")</f>
      </c>
      <c r="CO9" s="48"/>
      <c r="CP9" s="48"/>
      <c r="CS9" s="72">
        <f>IF(ISBLANK(CK9)=TRUE,"",CK9)</f>
        <v>5</v>
      </c>
      <c r="CT9" s="73">
        <f>IF(ISBLANK(B9)=TRUE,"",B9)</f>
        <v>10</v>
      </c>
      <c r="CU9" s="74" t="str">
        <f>Dont_rajtl!C4</f>
        <v>BUJÁKI János - Korda Julia</v>
      </c>
      <c r="CV9" s="108">
        <f>Dont_rajtl!D4</f>
        <v>0</v>
      </c>
      <c r="CX9" s="110">
        <f t="shared" si="25"/>
        <v>5</v>
      </c>
      <c r="CY9" s="110">
        <f t="shared" si="26"/>
        <v>10</v>
      </c>
      <c r="CZ9" s="110" t="str">
        <f t="shared" si="27"/>
        <v>BUJÁKI János - Korda Julia</v>
      </c>
      <c r="DA9" s="110" t="str">
        <f t="shared" si="27"/>
        <v>0</v>
      </c>
      <c r="DB9" s="45"/>
    </row>
    <row r="10" spans="1:106" ht="27" thickBot="1">
      <c r="A10" s="60">
        <f>IF(ISNUMBER(B10)=TRUE,3,"")</f>
        <v>3</v>
      </c>
      <c r="B10" s="118">
        <f>Dont_rajtl!B8</f>
        <v>8</v>
      </c>
      <c r="D10" s="222">
        <v>1</v>
      </c>
      <c r="E10" s="61">
        <v>3</v>
      </c>
      <c r="F10" s="61">
        <v>1</v>
      </c>
      <c r="G10" s="61">
        <v>3</v>
      </c>
      <c r="H10" s="223">
        <v>3</v>
      </c>
      <c r="I10" s="217"/>
      <c r="J10" s="61"/>
      <c r="L10" s="62">
        <f t="shared" si="0"/>
        <v>2</v>
      </c>
      <c r="M10" s="62">
        <f t="shared" si="1"/>
        <v>2</v>
      </c>
      <c r="N10" s="62">
        <f t="shared" si="2"/>
        <v>5</v>
      </c>
      <c r="O10" s="62">
        <f t="shared" si="3"/>
        <v>5</v>
      </c>
      <c r="P10" s="62">
        <f t="shared" si="4"/>
        <v>5</v>
      </c>
      <c r="Q10" s="62">
        <f t="shared" si="5"/>
        <v>5</v>
      </c>
      <c r="R10" s="62">
        <f t="shared" si="6"/>
        <v>5</v>
      </c>
      <c r="S10" s="63"/>
      <c r="T10" s="62">
        <f t="shared" si="7"/>
        <v>3</v>
      </c>
      <c r="U10" s="63"/>
      <c r="V10" s="62" t="str">
        <f t="shared" si="8"/>
        <v>N</v>
      </c>
      <c r="W10" s="63"/>
      <c r="X10" s="62">
        <f ca="1">INDIRECT(CONCATENATE(IF(T10=1,"L",IF(T10=2,"M",IF(T10=3,"N",IF(T10=4,"O",IF(T10=5,"P",IF(T10=6,"Q","R")))))),10))</f>
        <v>5</v>
      </c>
      <c r="Y10" s="62">
        <f t="shared" si="28"/>
        <v>5</v>
      </c>
      <c r="Z10" s="64"/>
      <c r="AA10" s="65" t="str">
        <f t="shared" si="9"/>
        <v>011</v>
      </c>
      <c r="AB10" s="62">
        <f t="shared" si="10"/>
        <v>11</v>
      </c>
      <c r="AC10" s="66"/>
      <c r="AD10" s="62">
        <f ca="1">INDIRECT(CONCATENATE(IF(T10=1,"M",IF(T10=2,"N",IF(T10=3,"O",IF(T10=4,"P",IF(T10=5,"Q","R"))))),10))</f>
        <v>5</v>
      </c>
      <c r="AE10" s="62">
        <f t="shared" si="11"/>
        <v>5</v>
      </c>
      <c r="AF10" s="66"/>
      <c r="AG10" s="65" t="str">
        <f t="shared" si="12"/>
        <v>011</v>
      </c>
      <c r="AH10" s="62">
        <f t="shared" si="13"/>
        <v>11</v>
      </c>
      <c r="AI10" s="67"/>
      <c r="AJ10" s="62">
        <f ca="1">INDIRECT(CONCATENATE(IF(T10=1,"N",IF(T10=2,"O",IF(T10=3,"P",IF(T10=4,"Q","R")))),10))</f>
        <v>5</v>
      </c>
      <c r="AK10" s="62">
        <f t="shared" si="29"/>
        <v>5</v>
      </c>
      <c r="AL10" s="67"/>
      <c r="AM10" s="65" t="str">
        <f t="shared" si="14"/>
        <v>011</v>
      </c>
      <c r="AN10" s="62">
        <f t="shared" si="15"/>
        <v>11</v>
      </c>
      <c r="AO10" s="66"/>
      <c r="AP10" s="62">
        <f ca="1">INDIRECT(CONCATENATE(IF(T10=1,"O",IF(T10=2,"P",IF(T10=3,"Q","R"))),10))</f>
        <v>5</v>
      </c>
      <c r="AQ10" s="62">
        <f t="shared" si="30"/>
        <v>5</v>
      </c>
      <c r="AR10" s="67"/>
      <c r="AS10" s="65" t="str">
        <f t="shared" si="16"/>
        <v>011</v>
      </c>
      <c r="AT10" s="62">
        <f t="shared" si="17"/>
        <v>11</v>
      </c>
      <c r="AU10" s="66"/>
      <c r="AV10" s="62">
        <f ca="1">INDIRECT(CONCATENATE(IF(T10=1,"P",IF(T10=2,"Q","R")),10))</f>
        <v>5</v>
      </c>
      <c r="AW10" s="62">
        <f t="shared" si="31"/>
        <v>5</v>
      </c>
      <c r="AX10" s="67"/>
      <c r="AY10" s="65" t="str">
        <f t="shared" si="18"/>
        <v>011</v>
      </c>
      <c r="AZ10" s="62">
        <f t="shared" si="19"/>
        <v>11</v>
      </c>
      <c r="BA10" s="66"/>
      <c r="BB10" s="62">
        <f ca="1">INDIRECT(CONCATENATE(IF(T10=1,"Q","R"),10))</f>
        <v>5</v>
      </c>
      <c r="BC10" s="62">
        <f t="shared" si="32"/>
        <v>5</v>
      </c>
      <c r="BD10" s="67"/>
      <c r="BE10" s="65" t="str">
        <f t="shared" si="20"/>
        <v>011</v>
      </c>
      <c r="BF10" s="62">
        <f t="shared" si="21"/>
        <v>11</v>
      </c>
      <c r="BG10" s="66"/>
      <c r="BH10" s="62">
        <f ca="1" t="shared" si="33"/>
        <v>5</v>
      </c>
      <c r="BI10" s="62">
        <f t="shared" si="34"/>
        <v>5</v>
      </c>
      <c r="BJ10" s="67"/>
      <c r="BK10" s="65" t="str">
        <f t="shared" si="35"/>
        <v>011</v>
      </c>
      <c r="BL10" s="62">
        <f t="shared" si="36"/>
        <v>11</v>
      </c>
      <c r="BM10" s="66"/>
      <c r="BN10" s="68">
        <f t="shared" si="37"/>
        <v>3511511.511</v>
      </c>
      <c r="BO10" s="69"/>
      <c r="BP10" s="70"/>
      <c r="BQ10" s="70"/>
      <c r="BR10" s="70" t="str">
        <f>IF(F20=3,IF(ISERR(BN10)=TRUE,"",RANK(BN10,BN8:BN10,1)),"0")</f>
        <v>0</v>
      </c>
      <c r="BS10" s="70" t="str">
        <f>IF(F20=4,IF(ISERR(BN10)=TRUE,"",RANK(BN10,BN8:BN11,1)),"0")</f>
        <v>0</v>
      </c>
      <c r="BT10" s="70">
        <f>IF(F20=5,IF(ISERR(BN10)=TRUE,"",RANK(BN10,BN8:BN12,1)),"0")</f>
        <v>3</v>
      </c>
      <c r="BU10" s="70" t="str">
        <f>IF(F20=6,IF(ISERR(BN10)=TRUE,"",RANK(BN10,BN8:BN13,1)),"0")</f>
        <v>0</v>
      </c>
      <c r="BV10" s="70" t="str">
        <f>IF(F20=7,IF(ISERR(BN10)=TRUE,"",RANK(BN10,BN8:BN14,1)),"0")</f>
        <v>0</v>
      </c>
      <c r="BW10" s="70"/>
      <c r="BX10" s="70">
        <f t="shared" si="38"/>
        <v>3</v>
      </c>
      <c r="BY10" s="69"/>
      <c r="BZ10" s="68">
        <f t="shared" si="22"/>
        <v>3511511511.511</v>
      </c>
      <c r="CA10" s="68"/>
      <c r="CB10" s="70"/>
      <c r="CC10" s="70"/>
      <c r="CD10" s="70" t="str">
        <f>IF(H5=3,IF(ISERR(BZ10)=TRUE,"",RANK(BZ10,BZ8:BZ10,1)),"0")</f>
        <v>0</v>
      </c>
      <c r="CE10" s="70" t="str">
        <f>IF(F20=4,IF(ISERR(BZ10)=TRUE,"",RANK(BZ10,BZ8:BZ11,1)),"0")</f>
        <v>0</v>
      </c>
      <c r="CF10" s="70">
        <f>IF(F20=5,IF(ISERR(BZ10)=TRUE,"",RANK(BZ10,BZ8:BZ12,1)),"0")</f>
        <v>3</v>
      </c>
      <c r="CG10" s="70" t="str">
        <f>IF(F20=6,IF(ISERR(BZ10)=TRUE,"",RANK(BZ10,BZ8:BZ13,1)),"0")</f>
        <v>0</v>
      </c>
      <c r="CH10" s="70" t="str">
        <f>IF(F20=7,IF(ISERR(BZ10)=TRUE,"",RANK(BZ10,BZ8:BZ14,1)),"0")</f>
        <v>0</v>
      </c>
      <c r="CI10" s="70"/>
      <c r="CJ10" s="66"/>
      <c r="CK10" s="119">
        <f t="shared" si="39"/>
        <v>3</v>
      </c>
      <c r="CL10" s="48"/>
      <c r="CM10" s="48">
        <f>IF(ISNUMBER(CK10)=TRUE,IF(COUNTIF(CK8:CK14,CK10)=1,"","!!!"),"")</f>
      </c>
      <c r="CN10" s="71">
        <f t="shared" si="40"/>
      </c>
      <c r="CO10" s="48"/>
      <c r="CP10" s="48"/>
      <c r="CS10" s="72">
        <f t="shared" si="23"/>
        <v>3</v>
      </c>
      <c r="CT10" s="73">
        <f t="shared" si="24"/>
        <v>8</v>
      </c>
      <c r="CU10" s="74" t="str">
        <f>Dont_rajtl!C8</f>
        <v>PETŐ Gábor - PETŐ Adrienn</v>
      </c>
      <c r="CV10" s="108" t="str">
        <f>Dont_rajtl!D8</f>
        <v>RÓK And Roll, Bp</v>
      </c>
      <c r="CX10" s="110">
        <f t="shared" si="25"/>
        <v>3</v>
      </c>
      <c r="CY10" s="110">
        <f t="shared" si="26"/>
        <v>8</v>
      </c>
      <c r="CZ10" s="110" t="str">
        <f t="shared" si="27"/>
        <v>PETŐ Gábor - PETŐ Adrienn</v>
      </c>
      <c r="DA10" s="110" t="str">
        <f t="shared" si="27"/>
        <v>RÓK And Roll, Bp</v>
      </c>
      <c r="DB10" s="45"/>
    </row>
    <row r="11" spans="1:106" ht="27" thickBot="1">
      <c r="A11" s="60">
        <f>IF(ISNUMBER(B11)=TRUE,4,"")</f>
        <v>4</v>
      </c>
      <c r="B11" s="118">
        <f>Dont_rajtl!B10</f>
        <v>4</v>
      </c>
      <c r="D11" s="222">
        <v>3</v>
      </c>
      <c r="E11" s="61">
        <v>1</v>
      </c>
      <c r="F11" s="61">
        <v>3</v>
      </c>
      <c r="G11" s="61">
        <v>2</v>
      </c>
      <c r="H11" s="223">
        <v>2</v>
      </c>
      <c r="I11" s="217"/>
      <c r="J11" s="61"/>
      <c r="L11" s="62">
        <f t="shared" si="0"/>
        <v>1</v>
      </c>
      <c r="M11" s="62">
        <f t="shared" si="1"/>
        <v>3</v>
      </c>
      <c r="N11" s="62">
        <f t="shared" si="2"/>
        <v>5</v>
      </c>
      <c r="O11" s="62">
        <f t="shared" si="3"/>
        <v>5</v>
      </c>
      <c r="P11" s="62">
        <f t="shared" si="4"/>
        <v>5</v>
      </c>
      <c r="Q11" s="62">
        <f t="shared" si="5"/>
        <v>5</v>
      </c>
      <c r="R11" s="62">
        <f t="shared" si="6"/>
        <v>5</v>
      </c>
      <c r="S11" s="63"/>
      <c r="T11" s="62">
        <f t="shared" si="7"/>
        <v>2</v>
      </c>
      <c r="U11" s="63"/>
      <c r="V11" s="62" t="str">
        <f t="shared" si="8"/>
        <v>M</v>
      </c>
      <c r="W11" s="63"/>
      <c r="X11" s="62">
        <f ca="1">INDIRECT(CONCATENATE(IF(T11=1,"L",IF(T11=2,"M",IF(T11=3,"N",IF(T11=4,"O",IF(T11=5,"P",IF(T11=6,"Q","R")))))),11))</f>
        <v>3</v>
      </c>
      <c r="Y11" s="62">
        <f t="shared" si="28"/>
        <v>7</v>
      </c>
      <c r="Z11" s="64"/>
      <c r="AA11" s="65" t="str">
        <f t="shared" si="9"/>
        <v>05</v>
      </c>
      <c r="AB11" s="62" t="str">
        <f t="shared" si="10"/>
        <v>05</v>
      </c>
      <c r="AC11" s="66"/>
      <c r="AD11" s="62">
        <f ca="1">INDIRECT(CONCATENATE(IF(T11=1,"M",IF(T11=2,"N",IF(T11=3,"O",IF(T11=4,"P",IF(T11=5,"Q","R"))))),11))</f>
        <v>5</v>
      </c>
      <c r="AE11" s="62">
        <f t="shared" si="11"/>
        <v>5</v>
      </c>
      <c r="AF11" s="66"/>
      <c r="AG11" s="65" t="str">
        <f t="shared" si="12"/>
        <v>011</v>
      </c>
      <c r="AH11" s="62">
        <f t="shared" si="13"/>
        <v>11</v>
      </c>
      <c r="AI11" s="67"/>
      <c r="AJ11" s="62">
        <f ca="1">INDIRECT(CONCATENATE(IF(T11=1,"N",IF(T11=2,"O",IF(T11=3,"P",IF(T11=4,"Q","R")))),11))</f>
        <v>5</v>
      </c>
      <c r="AK11" s="62">
        <f t="shared" si="29"/>
        <v>5</v>
      </c>
      <c r="AL11" s="67"/>
      <c r="AM11" s="65" t="str">
        <f t="shared" si="14"/>
        <v>011</v>
      </c>
      <c r="AN11" s="62">
        <f t="shared" si="15"/>
        <v>11</v>
      </c>
      <c r="AO11" s="66"/>
      <c r="AP11" s="62">
        <f ca="1">INDIRECT(CONCATENATE(IF(T11=1,"O",IF(T11=2,"P",IF(T11=3,"Q","R"))),11))</f>
        <v>5</v>
      </c>
      <c r="AQ11" s="62">
        <f t="shared" si="30"/>
        <v>5</v>
      </c>
      <c r="AR11" s="67"/>
      <c r="AS11" s="65" t="str">
        <f t="shared" si="16"/>
        <v>011</v>
      </c>
      <c r="AT11" s="62">
        <f t="shared" si="17"/>
        <v>11</v>
      </c>
      <c r="AU11" s="66"/>
      <c r="AV11" s="62">
        <f ca="1">INDIRECT(CONCATENATE(IF(T11=1,"P",IF(T11=2,"Q","R")),11))</f>
        <v>5</v>
      </c>
      <c r="AW11" s="62">
        <f t="shared" si="31"/>
        <v>5</v>
      </c>
      <c r="AX11" s="67"/>
      <c r="AY11" s="65" t="str">
        <f t="shared" si="18"/>
        <v>011</v>
      </c>
      <c r="AZ11" s="62">
        <f t="shared" si="19"/>
        <v>11</v>
      </c>
      <c r="BA11" s="66"/>
      <c r="BB11" s="62">
        <f ca="1">INDIRECT(CONCATENATE(IF(T11=1,"Q","R"),11))</f>
        <v>5</v>
      </c>
      <c r="BC11" s="62">
        <f t="shared" si="32"/>
        <v>5</v>
      </c>
      <c r="BD11" s="67"/>
      <c r="BE11" s="65" t="str">
        <f t="shared" si="20"/>
        <v>011</v>
      </c>
      <c r="BF11" s="62">
        <f t="shared" si="21"/>
        <v>11</v>
      </c>
      <c r="BG11" s="66"/>
      <c r="BH11" s="62">
        <f ca="1" t="shared" si="33"/>
        <v>5</v>
      </c>
      <c r="BI11" s="62">
        <f t="shared" si="34"/>
        <v>5</v>
      </c>
      <c r="BJ11" s="67"/>
      <c r="BK11" s="65" t="str">
        <f t="shared" si="35"/>
        <v>011</v>
      </c>
      <c r="BL11" s="62">
        <f t="shared" si="36"/>
        <v>11</v>
      </c>
      <c r="BM11" s="66"/>
      <c r="BN11" s="68">
        <f t="shared" si="37"/>
        <v>2705511.511</v>
      </c>
      <c r="BO11" s="69"/>
      <c r="BP11" s="70"/>
      <c r="BQ11" s="70"/>
      <c r="BR11" s="70"/>
      <c r="BS11" s="70" t="str">
        <f>IF(F20=4,IF(ISERR(BN11)=TRUE,"",RANK(BN11,BN8:BN11,1)),"0")</f>
        <v>0</v>
      </c>
      <c r="BT11" s="70">
        <f>IF(F20=5,IF(ISERR(BN11)=TRUE,"",RANK(BN11,BN8:BN12,1)),"0")</f>
        <v>2</v>
      </c>
      <c r="BU11" s="70" t="str">
        <f>IF(F20=6,IF(ISERR(BN11)=TRUE,"",RANK(BN11,BN8:BN13,1)),"0")</f>
        <v>0</v>
      </c>
      <c r="BV11" s="70" t="str">
        <f>IF(F20=7,IF(ISERR(BN11)=TRUE,"",RANK(BN11,BN8:BN14,1)),"0")</f>
        <v>0</v>
      </c>
      <c r="BW11" s="70"/>
      <c r="BX11" s="70">
        <f t="shared" si="38"/>
        <v>2</v>
      </c>
      <c r="BY11" s="69"/>
      <c r="BZ11" s="68">
        <f t="shared" si="22"/>
        <v>2511511511.511</v>
      </c>
      <c r="CA11" s="68"/>
      <c r="CB11" s="70"/>
      <c r="CC11" s="70"/>
      <c r="CD11" s="70"/>
      <c r="CE11" s="70" t="str">
        <f>IF(F20=4,IF(ISERR(BZ11)=TRUE,"",RANK(BZ11,BZ8:BZ11,1)),"0")</f>
        <v>0</v>
      </c>
      <c r="CF11" s="70">
        <f>IF(F20=5,IF(ISERR(BZ11)=TRUE,"",RANK(BZ11,BZ8:BZ12,1)),"0")</f>
        <v>2</v>
      </c>
      <c r="CG11" s="70" t="str">
        <f>IF(F20=6,IF(ISERR(BZ11)=TRUE,"",RANK(BZ11,BZ8:BZ13,1)),"0")</f>
        <v>0</v>
      </c>
      <c r="CH11" s="70" t="str">
        <f>IF(F20=7,IF(ISERR(BZ11)=TRUE,"",RANK(BZ11,BZ8:BZ14,1)),"0")</f>
        <v>0</v>
      </c>
      <c r="CI11" s="70"/>
      <c r="CJ11" s="66"/>
      <c r="CK11" s="119">
        <f t="shared" si="39"/>
        <v>2</v>
      </c>
      <c r="CL11" s="48"/>
      <c r="CM11" s="48">
        <f>IF(ISNUMBER(CK11)=TRUE,IF(COUNTIF(CK8:CK14,CK11)=1,"","!!!"),"")</f>
      </c>
      <c r="CN11" s="71">
        <f t="shared" si="40"/>
      </c>
      <c r="CO11" s="48"/>
      <c r="CP11" s="48"/>
      <c r="CS11" s="72">
        <f t="shared" si="23"/>
        <v>2</v>
      </c>
      <c r="CT11" s="73">
        <f t="shared" si="24"/>
        <v>4</v>
      </c>
      <c r="CU11" s="74" t="str">
        <f>Dont_rajtl!C10</f>
        <v>SCHMIDT Gábor - SCHMIDT-VACHTLER Erzsébet</v>
      </c>
      <c r="CV11" s="108" t="str">
        <f>Dont_rajtl!D10</f>
        <v>DancEarth TSE, Bp</v>
      </c>
      <c r="CX11" s="110">
        <f t="shared" si="25"/>
        <v>2</v>
      </c>
      <c r="CY11" s="110">
        <f t="shared" si="26"/>
        <v>4</v>
      </c>
      <c r="CZ11" s="110" t="str">
        <f t="shared" si="27"/>
        <v>SCHMIDT Gábor - SCHMIDT-VACHTLER Erzsébet</v>
      </c>
      <c r="DA11" s="110" t="str">
        <f t="shared" si="27"/>
        <v>DancEarth TSE, Bp</v>
      </c>
      <c r="DB11" s="45"/>
    </row>
    <row r="12" spans="1:106" ht="27" thickBot="1">
      <c r="A12" s="60">
        <f>IF(ISNUMBER(B12)=TRUE,5,"")</f>
        <v>5</v>
      </c>
      <c r="B12" s="118">
        <f>Dont_rajtl!B12</f>
        <v>7</v>
      </c>
      <c r="D12" s="222">
        <v>2</v>
      </c>
      <c r="E12" s="61">
        <v>2</v>
      </c>
      <c r="F12" s="61">
        <v>2</v>
      </c>
      <c r="G12" s="61">
        <v>1</v>
      </c>
      <c r="H12" s="223">
        <v>1</v>
      </c>
      <c r="I12" s="217"/>
      <c r="J12" s="61"/>
      <c r="L12" s="62">
        <f t="shared" si="0"/>
        <v>2</v>
      </c>
      <c r="M12" s="62">
        <f t="shared" si="1"/>
        <v>5</v>
      </c>
      <c r="N12" s="62">
        <f t="shared" si="2"/>
        <v>5</v>
      </c>
      <c r="O12" s="62">
        <f t="shared" si="3"/>
        <v>5</v>
      </c>
      <c r="P12" s="62">
        <f t="shared" si="4"/>
        <v>5</v>
      </c>
      <c r="Q12" s="62">
        <f t="shared" si="5"/>
        <v>5</v>
      </c>
      <c r="R12" s="62">
        <f t="shared" si="6"/>
        <v>5</v>
      </c>
      <c r="S12" s="63"/>
      <c r="T12" s="62">
        <f t="shared" si="7"/>
        <v>2</v>
      </c>
      <c r="U12" s="63"/>
      <c r="V12" s="62" t="str">
        <f t="shared" si="8"/>
        <v>M</v>
      </c>
      <c r="W12" s="63"/>
      <c r="X12" s="62">
        <f ca="1">INDIRECT(CONCATENATE(IF(T12=1,"L",IF(T12=2,"M",IF(T12=3,"N",IF(T12=4,"O",IF(T12=5,"P",IF(T12=6,"Q","R")))))),12))</f>
        <v>5</v>
      </c>
      <c r="Y12" s="62">
        <f t="shared" si="28"/>
        <v>5</v>
      </c>
      <c r="Z12" s="64"/>
      <c r="AA12" s="65" t="str">
        <f t="shared" si="9"/>
        <v>08</v>
      </c>
      <c r="AB12" s="62" t="str">
        <f t="shared" si="10"/>
        <v>08</v>
      </c>
      <c r="AC12" s="66"/>
      <c r="AD12" s="62">
        <f ca="1">INDIRECT(CONCATENATE(IF(T12=1,"M",IF(T12=2,"N",IF(T12=3,"O",IF(T12=4,"P",IF(T12=5,"Q","R"))))),12))</f>
        <v>5</v>
      </c>
      <c r="AE12" s="62">
        <f t="shared" si="11"/>
        <v>5</v>
      </c>
      <c r="AF12" s="66"/>
      <c r="AG12" s="65" t="str">
        <f t="shared" si="12"/>
        <v>08</v>
      </c>
      <c r="AH12" s="62" t="str">
        <f t="shared" si="13"/>
        <v>08</v>
      </c>
      <c r="AI12" s="67"/>
      <c r="AJ12" s="62">
        <f ca="1">INDIRECT(CONCATENATE(IF(T12=1,"N",IF(T12=2,"O",IF(T12=3,"P",IF(T12=4,"Q","R")))),12))</f>
        <v>5</v>
      </c>
      <c r="AK12" s="62">
        <f t="shared" si="29"/>
        <v>5</v>
      </c>
      <c r="AL12" s="67"/>
      <c r="AM12" s="65" t="str">
        <f t="shared" si="14"/>
        <v>08</v>
      </c>
      <c r="AN12" s="62" t="str">
        <f t="shared" si="15"/>
        <v>08</v>
      </c>
      <c r="AO12" s="66"/>
      <c r="AP12" s="62">
        <f ca="1">INDIRECT(CONCATENATE(IF(T12=1,"O",IF(T12=2,"P",IF(T12=3,"Q","R"))),12))</f>
        <v>5</v>
      </c>
      <c r="AQ12" s="62">
        <f t="shared" si="30"/>
        <v>5</v>
      </c>
      <c r="AR12" s="67"/>
      <c r="AS12" s="65" t="str">
        <f t="shared" si="16"/>
        <v>08</v>
      </c>
      <c r="AT12" s="62" t="str">
        <f t="shared" si="17"/>
        <v>08</v>
      </c>
      <c r="AU12" s="66"/>
      <c r="AV12" s="62">
        <f ca="1">INDIRECT(CONCATENATE(IF(T12=1,"P",IF(T12=2,"Q","R")),12))</f>
        <v>5</v>
      </c>
      <c r="AW12" s="62">
        <f t="shared" si="31"/>
        <v>5</v>
      </c>
      <c r="AX12" s="67"/>
      <c r="AY12" s="65" t="str">
        <f t="shared" si="18"/>
        <v>08</v>
      </c>
      <c r="AZ12" s="62" t="str">
        <f t="shared" si="19"/>
        <v>08</v>
      </c>
      <c r="BA12" s="66"/>
      <c r="BB12" s="62">
        <f ca="1">INDIRECT(CONCATENATE(IF(T12=1,"Q","R"),12))</f>
        <v>5</v>
      </c>
      <c r="BC12" s="62">
        <f t="shared" si="32"/>
        <v>5</v>
      </c>
      <c r="BD12" s="67"/>
      <c r="BE12" s="65" t="str">
        <f t="shared" si="20"/>
        <v>08</v>
      </c>
      <c r="BF12" s="62" t="str">
        <f t="shared" si="21"/>
        <v>08</v>
      </c>
      <c r="BG12" s="66"/>
      <c r="BH12" s="62">
        <f ca="1" t="shared" si="33"/>
        <v>5</v>
      </c>
      <c r="BI12" s="62">
        <f t="shared" si="34"/>
        <v>5</v>
      </c>
      <c r="BJ12" s="67"/>
      <c r="BK12" s="65" t="str">
        <f t="shared" si="35"/>
        <v>08</v>
      </c>
      <c r="BL12" s="62" t="str">
        <f t="shared" si="36"/>
        <v>08</v>
      </c>
      <c r="BM12" s="66"/>
      <c r="BN12" s="68">
        <f t="shared" si="37"/>
        <v>2508508.508</v>
      </c>
      <c r="BO12" s="69"/>
      <c r="BP12" s="70"/>
      <c r="BQ12" s="70"/>
      <c r="BR12" s="70"/>
      <c r="BS12" s="70"/>
      <c r="BT12" s="70">
        <f>IF(F20=5,IF(ISERR(BN12)=TRUE,"",RANK(BN12,BN8:BN12,1)),"0")</f>
        <v>1</v>
      </c>
      <c r="BU12" s="70" t="str">
        <f>IF(F20=6,IF(ISERR(BN12)=TRUE,"",RANK(BN12,BN8:BN13,1)),"0")</f>
        <v>0</v>
      </c>
      <c r="BV12" s="70" t="str">
        <f>IF(F20=7,IF(ISERR(BN12)=TRUE,"",RANK(BN12,BN8:BN14,1)),"0")</f>
        <v>0</v>
      </c>
      <c r="BW12" s="70"/>
      <c r="BX12" s="70">
        <f t="shared" si="38"/>
        <v>1</v>
      </c>
      <c r="BY12" s="69"/>
      <c r="BZ12" s="68">
        <f t="shared" si="22"/>
        <v>1508508508.508</v>
      </c>
      <c r="CA12" s="68"/>
      <c r="CB12" s="70"/>
      <c r="CC12" s="70"/>
      <c r="CD12" s="70"/>
      <c r="CE12" s="70"/>
      <c r="CF12" s="70">
        <f>IF(F20=5,IF(ISERR(BZ12)=TRUE,"",RANK(BZ12,BZ8:BZ12,1)),"0")</f>
        <v>1</v>
      </c>
      <c r="CG12" s="70" t="str">
        <f>IF(F20=6,IF(ISERR(BZ12)=TRUE,"",RANK(BZ12,BZ8:BZ13,1)),"0")</f>
        <v>0</v>
      </c>
      <c r="CH12" s="70" t="str">
        <f>IF(F20=7,IF(ISERR(BZ12)=TRUE,"",RANK(BZ12,BZ8:BZ14,1)),"0")</f>
        <v>0</v>
      </c>
      <c r="CI12" s="70"/>
      <c r="CJ12" s="66"/>
      <c r="CK12" s="119">
        <f t="shared" si="39"/>
        <v>1</v>
      </c>
      <c r="CL12" s="48"/>
      <c r="CM12" s="48">
        <f>IF(ISNUMBER(CK12)=TRUE,IF(COUNTIF(CK8:CK14,CK12)=1,"","!!!"),"")</f>
      </c>
      <c r="CN12" s="71">
        <f t="shared" si="40"/>
      </c>
      <c r="CO12" s="48"/>
      <c r="CP12" s="48"/>
      <c r="CS12" s="72">
        <f t="shared" si="23"/>
        <v>1</v>
      </c>
      <c r="CT12" s="73">
        <f t="shared" si="24"/>
        <v>7</v>
      </c>
      <c r="CU12" s="74">
        <f>Dont_rajtl!C14</f>
      </c>
      <c r="CV12" s="108">
        <f>Dont_rajtl!D14</f>
      </c>
      <c r="CX12" s="110">
        <f>VALUE(CS12)</f>
        <v>1</v>
      </c>
      <c r="CY12" s="110">
        <f>VALUE(CT12)</f>
        <v>7</v>
      </c>
      <c r="CZ12" s="110">
        <f t="shared" si="27"/>
      </c>
      <c r="DA12" s="110">
        <f t="shared" si="27"/>
      </c>
      <c r="DB12" s="45"/>
    </row>
    <row r="13" spans="1:106" ht="27" thickBot="1">
      <c r="A13" s="60">
        <f>IF(ISNUMBER(B13)=TRUE,6,"")</f>
      </c>
      <c r="B13" s="118">
        <f>Dont_rajtl!B14</f>
      </c>
      <c r="D13" s="222"/>
      <c r="E13" s="61"/>
      <c r="F13" s="61"/>
      <c r="G13" s="61"/>
      <c r="H13" s="223"/>
      <c r="I13" s="217"/>
      <c r="J13" s="61"/>
      <c r="L13" s="62">
        <f t="shared" si="0"/>
      </c>
      <c r="M13" s="62">
        <f t="shared" si="1"/>
      </c>
      <c r="N13" s="62">
        <f t="shared" si="2"/>
      </c>
      <c r="O13" s="62">
        <f t="shared" si="3"/>
      </c>
      <c r="P13" s="62">
        <f t="shared" si="4"/>
      </c>
      <c r="Q13" s="62">
        <f t="shared" si="5"/>
      </c>
      <c r="R13" s="62">
        <f t="shared" si="6"/>
      </c>
      <c r="S13" s="63"/>
      <c r="T13" s="62">
        <f t="shared" si="7"/>
        <v>1</v>
      </c>
      <c r="U13" s="63"/>
      <c r="V13" s="62" t="str">
        <f t="shared" si="8"/>
        <v>L</v>
      </c>
      <c r="W13" s="63"/>
      <c r="X13" s="62">
        <f ca="1">INDIRECT(CONCATENATE(IF(T13=1,"L",IF(T13=2,"M",IF(T13=3,"N",IF(T13=4,"O",IF(T13=5,"P",IF(T13=6,"Q","R")))))),13))</f>
      </c>
      <c r="Y13" s="62" t="e">
        <f t="shared" si="28"/>
        <v>#VALUE!</v>
      </c>
      <c r="Z13" s="64"/>
      <c r="AA13" s="65" t="str">
        <f t="shared" si="9"/>
        <v>00</v>
      </c>
      <c r="AB13" s="62" t="str">
        <f t="shared" si="10"/>
        <v>00</v>
      </c>
      <c r="AC13" s="66"/>
      <c r="AD13" s="62">
        <f ca="1">INDIRECT(CONCATENATE(IF(T13=1,"M",IF(T13=2,"N",IF(T13=3,"O",IF(T13=4,"P",IF(T13=5,"Q","R"))))),13))</f>
      </c>
      <c r="AE13" s="62" t="e">
        <f t="shared" si="11"/>
        <v>#VALUE!</v>
      </c>
      <c r="AF13" s="66"/>
      <c r="AG13" s="65" t="str">
        <f t="shared" si="12"/>
        <v>00</v>
      </c>
      <c r="AH13" s="62" t="str">
        <f t="shared" si="13"/>
        <v>00</v>
      </c>
      <c r="AI13" s="67"/>
      <c r="AJ13" s="62">
        <f ca="1">INDIRECT(CONCATENATE(IF(T13=1,"N",IF(T13=2,"O",IF(T13=3,"P",IF(T13=4,"Q","R")))),13))</f>
      </c>
      <c r="AK13" s="62" t="e">
        <f t="shared" si="29"/>
        <v>#VALUE!</v>
      </c>
      <c r="AL13" s="67"/>
      <c r="AM13" s="65" t="str">
        <f t="shared" si="14"/>
        <v>00</v>
      </c>
      <c r="AN13" s="62" t="str">
        <f t="shared" si="15"/>
        <v>00</v>
      </c>
      <c r="AO13" s="66"/>
      <c r="AP13" s="62">
        <f ca="1">INDIRECT(CONCATENATE(IF(T13=1,"O",IF(T13=2,"P",IF(T13=3,"Q","R"))),13))</f>
      </c>
      <c r="AQ13" s="62" t="e">
        <f t="shared" si="30"/>
        <v>#VALUE!</v>
      </c>
      <c r="AR13" s="67"/>
      <c r="AS13" s="65" t="str">
        <f t="shared" si="16"/>
        <v>00</v>
      </c>
      <c r="AT13" s="62" t="str">
        <f t="shared" si="17"/>
        <v>00</v>
      </c>
      <c r="AU13" s="66"/>
      <c r="AV13" s="62">
        <f ca="1">INDIRECT(CONCATENATE(IF(T13=1,"P",IF(T13=2,"Q","R")),13))</f>
      </c>
      <c r="AW13" s="62" t="e">
        <f t="shared" si="31"/>
        <v>#VALUE!</v>
      </c>
      <c r="AX13" s="67"/>
      <c r="AY13" s="65" t="str">
        <f t="shared" si="18"/>
        <v>00</v>
      </c>
      <c r="AZ13" s="62" t="str">
        <f t="shared" si="19"/>
        <v>00</v>
      </c>
      <c r="BA13" s="66"/>
      <c r="BB13" s="62">
        <f ca="1">INDIRECT(CONCATENATE(IF(T13=1,"Q","R"),13))</f>
      </c>
      <c r="BC13" s="62" t="e">
        <f t="shared" si="32"/>
        <v>#VALUE!</v>
      </c>
      <c r="BD13" s="67"/>
      <c r="BE13" s="65" t="str">
        <f t="shared" si="20"/>
        <v>00</v>
      </c>
      <c r="BF13" s="62" t="str">
        <f t="shared" si="21"/>
        <v>00</v>
      </c>
      <c r="BG13" s="66"/>
      <c r="BH13" s="62">
        <f ca="1" t="shared" si="33"/>
        <v>5</v>
      </c>
      <c r="BI13" s="62">
        <f t="shared" si="34"/>
        <v>5</v>
      </c>
      <c r="BJ13" s="67"/>
      <c r="BK13" s="65" t="str">
        <f t="shared" si="35"/>
        <v>00</v>
      </c>
      <c r="BL13" s="62" t="str">
        <f t="shared" si="36"/>
        <v>00</v>
      </c>
      <c r="BM13" s="66"/>
      <c r="BN13" s="68" t="e">
        <f t="shared" si="37"/>
        <v>#VALUE!</v>
      </c>
      <c r="BO13" s="69"/>
      <c r="BP13" s="70"/>
      <c r="BQ13" s="70"/>
      <c r="BR13" s="70"/>
      <c r="BS13" s="70"/>
      <c r="BT13" s="70"/>
      <c r="BU13" s="70" t="str">
        <f>IF(F20=6,IF(ISERR(BN13)=TRUE,"",RANK(BN13,BN8:BN13,1)),"0")</f>
        <v>0</v>
      </c>
      <c r="BV13" s="70" t="str">
        <f>IF(F20=7,IF(ISERR(BN13)=TRUE,"",RANK(BN13,BN8:BN14,1)),"0")</f>
        <v>0</v>
      </c>
      <c r="BW13" s="70"/>
      <c r="BX13" s="70">
        <f t="shared" si="38"/>
        <v>0</v>
      </c>
      <c r="BY13" s="69"/>
      <c r="BZ13" s="68" t="e">
        <f t="shared" si="22"/>
        <v>#VALUE!</v>
      </c>
      <c r="CA13" s="68"/>
      <c r="CB13" s="70"/>
      <c r="CC13" s="70"/>
      <c r="CD13" s="70"/>
      <c r="CE13" s="70"/>
      <c r="CF13" s="70"/>
      <c r="CG13" s="70" t="str">
        <f>IF(F20=6,IF(ISERR(BZ13)=TRUE,"",RANK(BZ13,BZ8:BZ13,1)),"0")</f>
        <v>0</v>
      </c>
      <c r="CH13" s="70" t="str">
        <f>IF(F20=7,IF(ISERR(BZ13)=TRUE,"",RANK(BZ13,BZ8:BZ14,1)),"0")</f>
        <v>0</v>
      </c>
      <c r="CI13" s="70"/>
      <c r="CJ13" s="66"/>
      <c r="CK13" s="119">
        <f t="shared" si="39"/>
      </c>
      <c r="CL13" s="48"/>
      <c r="CM13" s="48">
        <f>IF(ISNUMBER(CK13)=TRUE,IF(COUNTIF(CK8:CK14,CK13)=1,"","!!!"),"")</f>
      </c>
      <c r="CN13" s="71">
        <f t="shared" si="40"/>
      </c>
      <c r="CO13" s="48"/>
      <c r="CP13" s="48"/>
      <c r="CS13" s="72">
        <f t="shared" si="23"/>
      </c>
      <c r="CT13" s="73">
        <f t="shared" si="24"/>
      </c>
      <c r="CU13" s="74" t="str">
        <f>Dont_rajtl!C12</f>
        <v>CSERÉP János - VIRÁG Éva</v>
      </c>
      <c r="CV13" s="108" t="str">
        <f>Dont_rajtl!D12</f>
        <v>DancEarth TSE, Bp</v>
      </c>
      <c r="CX13" s="110" t="e">
        <f t="shared" si="25"/>
        <v>#VALUE!</v>
      </c>
      <c r="CY13" s="110" t="e">
        <f t="shared" si="26"/>
        <v>#VALUE!</v>
      </c>
      <c r="CZ13" s="110" t="str">
        <f>TRIM(CU13)</f>
        <v>CSERÉP János - VIRÁG Éva</v>
      </c>
      <c r="DA13" s="110" t="str">
        <f>TRIM(CV13)</f>
        <v>DancEarth TSE, Bp</v>
      </c>
      <c r="DB13" s="45"/>
    </row>
    <row r="14" spans="1:106" ht="27" thickBot="1">
      <c r="A14" s="60">
        <f>IF(ISNUMBER(B14)=TRUE,7,"")</f>
      </c>
      <c r="B14" s="118" t="str">
        <f>Dont_rajtl!B16</f>
        <v> </v>
      </c>
      <c r="D14" s="224"/>
      <c r="E14" s="225"/>
      <c r="F14" s="225"/>
      <c r="G14" s="225"/>
      <c r="H14" s="226"/>
      <c r="I14" s="217"/>
      <c r="J14" s="61"/>
      <c r="L14" s="62">
        <f t="shared" si="0"/>
      </c>
      <c r="M14" s="62">
        <f t="shared" si="1"/>
      </c>
      <c r="N14" s="62">
        <f t="shared" si="2"/>
      </c>
      <c r="O14" s="62">
        <f t="shared" si="3"/>
      </c>
      <c r="P14" s="62">
        <f t="shared" si="4"/>
      </c>
      <c r="Q14" s="62">
        <f t="shared" si="5"/>
      </c>
      <c r="R14" s="62">
        <f t="shared" si="6"/>
      </c>
      <c r="S14" s="63"/>
      <c r="T14" s="62">
        <f t="shared" si="7"/>
        <v>1</v>
      </c>
      <c r="U14" s="63"/>
      <c r="V14" s="62" t="str">
        <f t="shared" si="8"/>
        <v>L</v>
      </c>
      <c r="W14" s="63"/>
      <c r="X14" s="62">
        <f ca="1">INDIRECT(CONCATENATE(IF(T14=1,"L",IF(T14=2,"M",IF(T14=3,"N",IF(T14=4,"O",IF(T14=5,"P",IF(T14=6,"Q","R")))))),14))</f>
      </c>
      <c r="Y14" s="62" t="e">
        <f t="shared" si="28"/>
        <v>#VALUE!</v>
      </c>
      <c r="Z14" s="64"/>
      <c r="AA14" s="65" t="str">
        <f t="shared" si="9"/>
        <v>00</v>
      </c>
      <c r="AB14" s="62" t="str">
        <f t="shared" si="10"/>
        <v>00</v>
      </c>
      <c r="AC14" s="66"/>
      <c r="AD14" s="62">
        <f ca="1">INDIRECT(CONCATENATE(IF(T14=1,"M",IF(T14=2,"N",IF(T14=3,"O",IF(T14=4,"P",IF(T14=5,"Q","R"))))),14))</f>
      </c>
      <c r="AE14" s="62" t="e">
        <f t="shared" si="11"/>
        <v>#VALUE!</v>
      </c>
      <c r="AF14" s="66"/>
      <c r="AG14" s="65" t="str">
        <f t="shared" si="12"/>
        <v>00</v>
      </c>
      <c r="AH14" s="62" t="str">
        <f t="shared" si="13"/>
        <v>00</v>
      </c>
      <c r="AI14" s="67"/>
      <c r="AJ14" s="62">
        <f ca="1">INDIRECT(CONCATENATE(IF(T14=1,"N",IF(T14=2,"O",IF(T14=3,"P",IF(T14=4,"Q","R")))),14))</f>
      </c>
      <c r="AK14" s="62" t="e">
        <f t="shared" si="29"/>
        <v>#VALUE!</v>
      </c>
      <c r="AL14" s="67"/>
      <c r="AM14" s="65" t="str">
        <f t="shared" si="14"/>
        <v>00</v>
      </c>
      <c r="AN14" s="62" t="str">
        <f t="shared" si="15"/>
        <v>00</v>
      </c>
      <c r="AO14" s="66"/>
      <c r="AP14" s="62">
        <f ca="1">INDIRECT(CONCATENATE(IF(T14=1,"O",IF(T14=2,"P",IF(T14=3,"Q","R"))),14))</f>
      </c>
      <c r="AQ14" s="62" t="e">
        <f t="shared" si="30"/>
        <v>#VALUE!</v>
      </c>
      <c r="AR14" s="67"/>
      <c r="AS14" s="65" t="str">
        <f t="shared" si="16"/>
        <v>00</v>
      </c>
      <c r="AT14" s="62" t="str">
        <f t="shared" si="17"/>
        <v>00</v>
      </c>
      <c r="AU14" s="66"/>
      <c r="AV14" s="62">
        <f ca="1">INDIRECT(CONCATENATE(IF(T14=1,"P",IF(T14=2,"Q","R")),14))</f>
      </c>
      <c r="AW14" s="62" t="e">
        <f t="shared" si="31"/>
        <v>#VALUE!</v>
      </c>
      <c r="AX14" s="67"/>
      <c r="AY14" s="65" t="str">
        <f t="shared" si="18"/>
        <v>00</v>
      </c>
      <c r="AZ14" s="62" t="str">
        <f t="shared" si="19"/>
        <v>00</v>
      </c>
      <c r="BA14" s="66"/>
      <c r="BB14" s="62">
        <f ca="1">INDIRECT(CONCATENATE(IF(T14=1,"Q","R"),14))</f>
      </c>
      <c r="BC14" s="62" t="e">
        <f t="shared" si="32"/>
        <v>#VALUE!</v>
      </c>
      <c r="BD14" s="67"/>
      <c r="BE14" s="65" t="str">
        <f t="shared" si="20"/>
        <v>00</v>
      </c>
      <c r="BF14" s="62" t="str">
        <f t="shared" si="21"/>
        <v>00</v>
      </c>
      <c r="BG14" s="66"/>
      <c r="BH14" s="62">
        <f ca="1" t="shared" si="33"/>
        <v>5</v>
      </c>
      <c r="BI14" s="62">
        <f t="shared" si="34"/>
        <v>5</v>
      </c>
      <c r="BJ14" s="67"/>
      <c r="BK14" s="65" t="str">
        <f t="shared" si="35"/>
        <v>00</v>
      </c>
      <c r="BL14" s="62" t="str">
        <f t="shared" si="36"/>
        <v>00</v>
      </c>
      <c r="BM14" s="66"/>
      <c r="BN14" s="68" t="e">
        <f t="shared" si="37"/>
        <v>#VALUE!</v>
      </c>
      <c r="BO14" s="69"/>
      <c r="BP14" s="70"/>
      <c r="BQ14" s="70"/>
      <c r="BR14" s="70"/>
      <c r="BS14" s="70"/>
      <c r="BT14" s="70"/>
      <c r="BU14" s="70"/>
      <c r="BV14" s="70" t="str">
        <f>IF(F20=7,IF(ISERR(BN14)=TRUE,"",RANK(BN14,BN8:BN14,1)),"0")</f>
        <v>0</v>
      </c>
      <c r="BW14" s="70"/>
      <c r="BX14" s="70">
        <f t="shared" si="38"/>
        <v>0</v>
      </c>
      <c r="BY14" s="69"/>
      <c r="BZ14" s="68" t="e">
        <f t="shared" si="22"/>
        <v>#VALUE!</v>
      </c>
      <c r="CA14" s="68"/>
      <c r="CB14" s="70"/>
      <c r="CC14" s="70"/>
      <c r="CD14" s="70"/>
      <c r="CE14" s="70"/>
      <c r="CF14" s="70"/>
      <c r="CG14" s="70"/>
      <c r="CH14" s="70" t="str">
        <f>IF(F20=7,IF(ISERR(BZ14)=TRUE,"",RANK(BZ14,BZ8:BZ14,1)),"0")</f>
        <v>0</v>
      </c>
      <c r="CI14" s="70"/>
      <c r="CJ14" s="66"/>
      <c r="CK14" s="119">
        <f t="shared" si="39"/>
      </c>
      <c r="CL14" s="48"/>
      <c r="CM14" s="48">
        <f>IF(ISNUMBER(CK14)=TRUE,IF(COUNTIF(CK8:CK14,CK14)=1,"","!!!"),"")</f>
      </c>
      <c r="CN14" s="71">
        <f t="shared" si="40"/>
      </c>
      <c r="CO14" s="48"/>
      <c r="CP14" s="48"/>
      <c r="CS14" s="72">
        <f t="shared" si="23"/>
      </c>
      <c r="CT14" s="73" t="str">
        <f t="shared" si="24"/>
        <v> </v>
      </c>
      <c r="CU14" s="74">
        <f>Dont_rajtl!C16</f>
      </c>
      <c r="CV14" s="108">
        <f>Dont_rajtl!D16</f>
      </c>
      <c r="CX14" s="110" t="e">
        <f t="shared" si="25"/>
        <v>#VALUE!</v>
      </c>
      <c r="CY14" s="110" t="e">
        <f t="shared" si="26"/>
        <v>#VALUE!</v>
      </c>
      <c r="CZ14" s="110">
        <f t="shared" si="27"/>
      </c>
      <c r="DA14" s="110">
        <f t="shared" si="27"/>
      </c>
      <c r="DB14" s="45"/>
    </row>
    <row r="15" spans="1:106" ht="27" thickBot="1">
      <c r="A15" s="60"/>
      <c r="B15" s="75"/>
      <c r="C15" s="42"/>
      <c r="D15" s="42"/>
      <c r="E15" s="48"/>
      <c r="F15" s="48"/>
      <c r="G15" s="48"/>
      <c r="H15" s="48"/>
      <c r="I15" s="48"/>
      <c r="J15" s="48"/>
      <c r="K15" s="42"/>
      <c r="L15" s="76"/>
      <c r="M15" s="76"/>
      <c r="N15" s="76"/>
      <c r="O15" s="76"/>
      <c r="P15" s="76"/>
      <c r="Q15" s="76"/>
      <c r="R15" s="76"/>
      <c r="S15" s="48"/>
      <c r="T15" s="76"/>
      <c r="U15" s="48"/>
      <c r="V15" s="48"/>
      <c r="W15" s="48"/>
      <c r="X15" s="77"/>
      <c r="Y15" s="78"/>
      <c r="Z15" s="78"/>
      <c r="AA15" s="78"/>
      <c r="AB15" s="78"/>
      <c r="AC15" s="48"/>
      <c r="AD15" s="78"/>
      <c r="AE15" s="78"/>
      <c r="AF15" s="78"/>
      <c r="AG15" s="78"/>
      <c r="AH15" s="78"/>
      <c r="AI15" s="48"/>
      <c r="AJ15" s="78"/>
      <c r="AK15" s="78"/>
      <c r="AL15" s="78"/>
      <c r="AM15" s="78"/>
      <c r="AN15" s="78"/>
      <c r="AO15" s="48"/>
      <c r="AP15" s="78"/>
      <c r="AQ15" s="78"/>
      <c r="AR15" s="78"/>
      <c r="AS15" s="78"/>
      <c r="AT15" s="78"/>
      <c r="AU15" s="48"/>
      <c r="AV15" s="78"/>
      <c r="AW15" s="78"/>
      <c r="AX15" s="78"/>
      <c r="AY15" s="78"/>
      <c r="AZ15" s="78"/>
      <c r="BA15" s="48"/>
      <c r="BB15" s="78"/>
      <c r="BC15" s="78"/>
      <c r="BD15" s="78"/>
      <c r="BE15" s="78"/>
      <c r="BF15" s="78"/>
      <c r="BG15" s="48"/>
      <c r="BH15" s="78"/>
      <c r="BI15" s="78"/>
      <c r="BJ15" s="78"/>
      <c r="BK15" s="78"/>
      <c r="BL15" s="7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76"/>
      <c r="CL15" s="48"/>
      <c r="CM15" s="48"/>
      <c r="CN15" s="48"/>
      <c r="CO15" s="48"/>
      <c r="CP15" s="48"/>
      <c r="CX15" s="45"/>
      <c r="CY15" s="45"/>
      <c r="CZ15" s="45"/>
      <c r="DA15" s="45"/>
      <c r="DB15" s="45"/>
    </row>
    <row r="16" spans="1:106" ht="27.75" thickBot="1" thickTop="1">
      <c r="A16" s="60"/>
      <c r="B16" s="47"/>
      <c r="D16" s="48"/>
      <c r="E16" s="48"/>
      <c r="F16" s="48"/>
      <c r="G16" s="48"/>
      <c r="H16" s="48"/>
      <c r="I16" s="48"/>
      <c r="J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>
        <v>1</v>
      </c>
      <c r="AA16" s="48"/>
      <c r="AB16" s="48"/>
      <c r="AC16" s="48"/>
      <c r="AD16" s="48"/>
      <c r="AE16" s="48"/>
      <c r="AF16" s="48">
        <v>2</v>
      </c>
      <c r="AG16" s="48"/>
      <c r="AH16" s="48"/>
      <c r="AI16" s="48"/>
      <c r="AJ16" s="48"/>
      <c r="AK16" s="48"/>
      <c r="AL16" s="48">
        <v>3</v>
      </c>
      <c r="AM16" s="48"/>
      <c r="AN16" s="48"/>
      <c r="AO16" s="48"/>
      <c r="AP16" s="48"/>
      <c r="AQ16" s="48"/>
      <c r="AR16" s="48">
        <v>4</v>
      </c>
      <c r="AS16" s="48"/>
      <c r="AT16" s="48"/>
      <c r="AU16" s="48"/>
      <c r="AV16" s="48"/>
      <c r="AW16" s="48"/>
      <c r="AX16" s="48">
        <v>5</v>
      </c>
      <c r="AY16" s="48"/>
      <c r="AZ16" s="48"/>
      <c r="BA16" s="48"/>
      <c r="BB16" s="48"/>
      <c r="BC16" s="48"/>
      <c r="BD16" s="48">
        <v>6</v>
      </c>
      <c r="BE16" s="48"/>
      <c r="BF16" s="48"/>
      <c r="BG16" s="48"/>
      <c r="BH16" s="48"/>
      <c r="BI16" s="48"/>
      <c r="BJ16" s="48">
        <v>7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X16" s="45"/>
      <c r="CY16" s="45"/>
      <c r="CZ16" s="45"/>
      <c r="DA16" s="45"/>
      <c r="DB16" s="45"/>
    </row>
    <row r="17" spans="1:106" ht="25.5" customHeight="1" thickBot="1">
      <c r="A17" s="51"/>
      <c r="B17" s="79"/>
      <c r="D17" s="80">
        <f>IF(IF(COUNTIF(D8:D14,1)=1,COUNTIF(D8:D14,1),0)+IF(COUNTIF(D8:D14,2)=1,COUNTIF(D8:D14,2),0)+IF(COUNTIF(D8:D14,3)=1,COUNTIF(D8:D14,3),0)+IF(COUNTIF(D8:D14,4)=1,COUNTIF(D8:D14,4),0)+IF(COUNTIF(D8:D14,5)=1,COUNTIF(D8:D14,5),0)+IF(COUNTIF(D8:D14,6)=1,COUNTIF(D8:D14,6),0)+IF(COUNTIF(D8:D14,7)=1,COUNTIF(D8:D14,7),0)=F20,"","!!!")</f>
      </c>
      <c r="E17" s="80">
        <f>IF(IF(COUNTIF(E8:E14,1)=1,COUNTIF(E8:E14,1),0)+IF(COUNTIF(E8:E14,2)=1,COUNTIF(E8:E14,2),0)+IF(COUNTIF(E8:E14,3)=1,COUNTIF(E8:E14,3),0)+IF(COUNTIF(E8:E14,4)=1,COUNTIF(E8:E14,4),0)+IF(COUNTIF(E8:E14,5)=1,COUNTIF(E8:E14,5),0)+IF(COUNTIF(E8:E14,6)=1,COUNTIF(E8:E14,6),0)+IF(COUNTIF(E8:E14,7)=1,COUNTIF(E8:E14,7),0)=F20,"","!!!")</f>
      </c>
      <c r="F17" s="80">
        <f>IF(IF(COUNTIF(F8:F14,1)=1,COUNTIF(F8:F14,1),0)+IF(COUNTIF(F8:F14,2)=1,COUNTIF(F8:F14,2),0)+IF(COUNTIF(F8:F14,3)=1,COUNTIF(F8:F14,3),0)+IF(COUNTIF(F8:F14,4)=1,COUNTIF(F8:F14,4),0)+IF(COUNTIF(F8:F14,5)=1,COUNTIF(F8:F14,5),0)+IF(COUNTIF(F8:F14,6)=1,COUNTIF(F8:F14,6),0)+IF(COUNTIF(F8:F14,7)=1,COUNTIF(F8:F14,7),0)=F20,"","!!!")</f>
      </c>
      <c r="G17" s="80">
        <f>IF(IF(COUNTIF(G8:G14,1)=1,COUNTIF(G8:G14,1),0)+IF(COUNTIF(G8:G14,2)=1,COUNTIF(G8:G14,2),0)+IF(COUNTIF(G8:G14,3)=1,COUNTIF(G8:G14,3),0)+IF(COUNTIF(G8:G14,4)=1,COUNTIF(G8:G14,4),0)+IF(COUNTIF(G8:G14,5)=1,COUNTIF(G8:G14,5),0)+IF(COUNTIF(G8:G14,6)=1,COUNTIF(G8:G14,6),0)+IF(COUNTIF(G8:G14,7)=1,COUNTIF(G8:G14,7),0)=F20,"","!!!")</f>
      </c>
      <c r="H17" s="80">
        <f>IF(IF(COUNTIF(H8:H14,1)=1,COUNTIF(H8:H14,1),0)+IF(COUNTIF(H8:H14,2)=1,COUNTIF(H8:H14,2),0)+IF(COUNTIF(H8:H14,3)=1,COUNTIF(H8:H14,3),0)+IF(COUNTIF(H8:H14,4)=1,COUNTIF(H8:H14,4),0)+IF(COUNTIF(H8:H14,5)=1,COUNTIF(H8:H14,5),0)+IF(COUNTIF(H8:H14,6)=1,COUNTIF(H8:H14,6),0)+IF(COUNTIF(H8:H14,7)=1,COUNTIF(H8:H14,7),0)=F20,"","!!!")</f>
      </c>
      <c r="I17" s="80" t="str">
        <f>IF(IF(COUNTIF(I8:I14,1)=1,COUNTIF(I8:I14,1),0)+IF(COUNTIF(I8:I14,2)=1,COUNTIF(I8:I14,2),0)+IF(COUNTIF(I8:I14,3)=1,COUNTIF(I8:I14,3),0)+IF(COUNTIF(I8:I14,4)=1,COUNTIF(I8:I14,4),0)+IF(COUNTIF(I8:I14,5)=1,COUNTIF(I8:I14,5),0)+IF(COUNTIF(I8:I14,6)=1,COUNTIF(I8:I14,6),0)+IF(COUNTIF(I8:I14,7)=1,COUNTIF(I8:I14,7),0)=F20,"","!!!")</f>
        <v>!!!</v>
      </c>
      <c r="J17" s="80" t="str">
        <f>IF(IF(COUNTIF(J8:J14,1)=1,COUNTIF(J8:J14,1),0)+IF(COUNTIF(J8:J14,2)=1,COUNTIF(J8:J14,2),0)+IF(COUNTIF(J8:J14,3)=1,COUNTIF(J8:J14,3),0)+IF(COUNTIF(J8:J14,4)=1,COUNTIF(J8:J14,4),0)+IF(COUNTIF(J8:J14,5)=1,COUNTIF(J8:J14,5),0)+IF(COUNTIF(J8:J14,6)=1,COUNTIF(J8:J14,6),0)+IF(COUNTIF(J8:J14,7)=1,COUNTIF(J8:J14,7),0)=F20,"","!!!")</f>
        <v>!!!</v>
      </c>
      <c r="L17" s="48"/>
      <c r="M17" s="320" t="s">
        <v>43</v>
      </c>
      <c r="N17" s="320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X17" s="45"/>
      <c r="CY17" s="45"/>
      <c r="CZ17" s="45"/>
      <c r="DA17" s="45"/>
      <c r="DB17" s="45"/>
    </row>
    <row r="18" spans="1:106" ht="25.5" customHeight="1" thickBot="1">
      <c r="A18" s="51"/>
      <c r="B18" s="79"/>
      <c r="D18" s="80">
        <f>IF(IF(F20=1,COUNTIF(D8:D14,"&gt;1"),IF(F20=2,COUNTIF(D8:D14,"&gt;2"),IF(F20=3,COUNTIF(D8:D14,"&gt;3"),IF(F20=4,COUNTIF(D8:D14,"&gt;4"),IF(F20=5,COUNTIF(D8:D14,"&gt;5"),IF(F20=6,COUNTIF(D8:D14,"&gt;6"),COUNTIF(D8:D14,"&gt;7")))))))=0,"","!!!")</f>
      </c>
      <c r="E18" s="80">
        <f>IF(IF(F20=1,COUNTIF(E8:E14,"&gt;1"),IF(F20=2,COUNTIF(E8:E14,"&gt;2"),IF(F20=3,COUNTIF(E8:E14,"&gt;3"),IF(F20=4,COUNTIF(E8:E14,"&gt;4"),IF(F20=5,COUNTIF(E8:E14,"&gt;5"),IF(F20=6,COUNTIF(E8:E14,"&gt;6"),COUNTIF(E8:E14,"&gt;7")))))))=0,"","!!!")</f>
      </c>
      <c r="F18" s="80">
        <f>IF(IF(F20=1,COUNTIF(F8:F14,"&gt;1"),IF(F20=2,COUNTIF(F8:F14,"&gt;2"),IF(F20=3,COUNTIF(F8:F14,"&gt;3"),IF(F20=4,COUNTIF(F8:F14,"&gt;4"),IF(F20=5,COUNTIF(F8:F14,"&gt;5"),IF(F20=6,COUNTIF(F8:F14,"&gt;6"),COUNTIF(F8:F14,"&gt;7")))))))=0,"","!!!")</f>
      </c>
      <c r="G18" s="80">
        <f>IF(IF(F20=1,COUNTIF(G8:G14,"&gt;1"),IF(F20=2,COUNTIF(G8:G14,"&gt;2"),IF(F20=3,COUNTIF(G8:G14,"&gt;3"),IF(F20=4,COUNTIF(G8:G14,"&gt;4"),IF(F20=5,COUNTIF(G8:G14,"&gt;5"),IF(F20=6,COUNTIF(G8:G14,"&gt;6"),COUNTIF(G8:G14,"&gt;7")))))))=0,"","!!!")</f>
      </c>
      <c r="H18" s="80">
        <f>IF(IF(F20=1,COUNTIF(H8:H14,"&gt;1"),IF(F20=2,COUNTIF(H8:H14,"&gt;2"),IF(F20=3,COUNTIF(H8:H14,"&gt;3"),IF(F20=4,COUNTIF(H8:H14,"&gt;4"),IF(F20=5,COUNTIF(H8:H14,"&gt;5"),IF(F20=6,COUNTIF(H8:H14,"&gt;6"),COUNTIF(H8:H14,"&gt;7")))))))=0,"","!!!")</f>
      </c>
      <c r="I18" s="80">
        <f>IF(IF(G20=1,COUNTIF(I8:I14,"&gt;1"),IF(G20=2,COUNTIF(I8:I14,"&gt;2"),IF(G20=3,COUNTIF(I8:I14,"&gt;3"),IF(G20=4,COUNTIF(I8:I14,"&gt;4"),IF(G20=5,COUNTIF(I8:I14,"&gt;5"),IF(G20=6,COUNTIF(I8:I14,"&gt;6"),COUNTIF(I8:I14,"&gt;7")))))))=0,"","!!!")</f>
      </c>
      <c r="J18" s="80">
        <f>IF(IF(H20=1,COUNTIF(J8:J14,"&gt;1"),IF(H20=2,COUNTIF(J8:J14,"&gt;2"),IF(H20=3,COUNTIF(J8:J14,"&gt;3"),IF(H20=4,COUNTIF(J8:J14,"&gt;4"),IF(H20=5,COUNTIF(J8:J14,"&gt;5"),IF(H20=6,COUNTIF(J8:J14,"&gt;6"),COUNTIF(J8:J14,"&gt;7")))))))=0,"","!!!")</f>
      </c>
      <c r="L18" s="48"/>
      <c r="M18" s="321" t="s">
        <v>43</v>
      </c>
      <c r="N18" s="321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X18" s="45"/>
      <c r="CY18" s="45"/>
      <c r="CZ18" s="45"/>
      <c r="DA18" s="45"/>
      <c r="DB18" s="81"/>
    </row>
    <row r="19" spans="1:106" ht="12.75" customHeight="1">
      <c r="A19" s="60"/>
      <c r="B19" s="47"/>
      <c r="D19" s="48"/>
      <c r="E19" s="48"/>
      <c r="F19" s="48"/>
      <c r="G19" s="48"/>
      <c r="H19" s="48"/>
      <c r="I19" s="48"/>
      <c r="J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X19" s="45"/>
      <c r="CY19" s="45"/>
      <c r="CZ19" s="45"/>
      <c r="DA19" s="45"/>
      <c r="DB19" s="45"/>
    </row>
    <row r="20" spans="1:107" ht="18">
      <c r="A20" s="82" t="s">
        <v>44</v>
      </c>
      <c r="B20" s="83"/>
      <c r="C20" s="84"/>
      <c r="D20" s="85"/>
      <c r="E20" s="85"/>
      <c r="F20" s="86">
        <f>IF(B9=" ",1,IF(B10=" ",2,IF(B11=" ",3,IF(B12=" ",4,IF(B13="",5,IF(B14=" ",6,7))))))</f>
        <v>5</v>
      </c>
      <c r="G20" s="48"/>
      <c r="H20" s="48"/>
      <c r="I20" s="48"/>
      <c r="J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X20" s="45"/>
      <c r="CY20" s="45"/>
      <c r="CZ20" s="45"/>
      <c r="DA20" s="45"/>
      <c r="DB20" s="45"/>
      <c r="DC20" s="42"/>
    </row>
    <row r="21" spans="1:107" ht="30" customHeight="1">
      <c r="A21" s="51"/>
      <c r="B21" s="47"/>
      <c r="D21" s="48"/>
      <c r="E21" s="48"/>
      <c r="F21" s="48"/>
      <c r="G21" s="48"/>
      <c r="H21" s="48"/>
      <c r="I21" s="48"/>
      <c r="J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9"/>
      <c r="AD21" s="49"/>
      <c r="AE21" s="49"/>
      <c r="AF21" s="49"/>
      <c r="AG21" s="49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X21" s="322" t="str">
        <f>IF(Rajtlista!E1="Töltsd ki","Ne ezt töltsd ki",Rajtlista!E1)</f>
        <v>Boogie - Woogie</v>
      </c>
      <c r="CY21" s="323"/>
      <c r="CZ21" s="323"/>
      <c r="DA21" s="323"/>
      <c r="DB21" s="45"/>
      <c r="DC21" s="42"/>
    </row>
    <row r="22" spans="1:107" ht="24.75" customHeight="1">
      <c r="A22" s="87"/>
      <c r="B22" s="47"/>
      <c r="D22" s="47"/>
      <c r="CX22" s="324" t="s">
        <v>61</v>
      </c>
      <c r="CY22" s="325"/>
      <c r="CZ22" s="325"/>
      <c r="DA22" s="325"/>
      <c r="DB22" s="45"/>
      <c r="DC22" s="42"/>
    </row>
    <row r="23" spans="102:107" ht="15" customHeight="1">
      <c r="CX23" s="88"/>
      <c r="CY23" s="89"/>
      <c r="CZ23" s="89"/>
      <c r="DA23" s="89"/>
      <c r="DB23" s="45"/>
      <c r="DC23" s="42"/>
    </row>
    <row r="24" spans="102:107" ht="15" customHeight="1">
      <c r="CX24" s="90" t="s">
        <v>5</v>
      </c>
      <c r="CY24" s="90" t="s">
        <v>0</v>
      </c>
      <c r="CZ24" s="90" t="s">
        <v>1</v>
      </c>
      <c r="DA24" s="90" t="s">
        <v>42</v>
      </c>
      <c r="DB24" s="45"/>
      <c r="DC24" s="42"/>
    </row>
    <row r="25" spans="102:107" ht="15" customHeight="1" thickBot="1">
      <c r="CX25" s="91"/>
      <c r="CY25" s="91"/>
      <c r="CZ25" s="91"/>
      <c r="DA25" s="91"/>
      <c r="DB25" s="45"/>
      <c r="DC25" s="42"/>
    </row>
    <row r="26" spans="102:107" ht="15" customHeight="1" thickBot="1">
      <c r="CX26" s="92" t="s">
        <v>45</v>
      </c>
      <c r="CY26" s="93">
        <f>CY8</f>
        <v>3</v>
      </c>
      <c r="CZ26" s="94" t="str">
        <f>CZ8</f>
        <v>DÁNIEL Balázs - KELEMEN Patrícia</v>
      </c>
      <c r="DA26" s="95" t="str">
        <f>DA8</f>
        <v>Platina TSE, Győr</v>
      </c>
      <c r="DB26" s="45"/>
      <c r="DC26" s="42"/>
    </row>
    <row r="27" spans="102:107" ht="15" customHeight="1" thickBot="1">
      <c r="CX27" s="96"/>
      <c r="CY27" s="97"/>
      <c r="CZ27" s="98"/>
      <c r="DA27" s="98"/>
      <c r="DB27" s="45"/>
      <c r="DC27" s="42"/>
    </row>
    <row r="28" spans="102:107" ht="15" customHeight="1" thickBot="1">
      <c r="CX28" s="92" t="s">
        <v>46</v>
      </c>
      <c r="CY28" s="93">
        <f>CY9</f>
        <v>10</v>
      </c>
      <c r="CZ28" s="94" t="str">
        <f>CZ9</f>
        <v>BUJÁKI János - Korda Julia</v>
      </c>
      <c r="DA28" s="95" t="str">
        <f>DA9</f>
        <v>0</v>
      </c>
      <c r="DB28" s="45"/>
      <c r="DC28" s="42"/>
    </row>
    <row r="29" spans="102:107" ht="15" customHeight="1" thickBot="1">
      <c r="CX29" s="96"/>
      <c r="CY29" s="97"/>
      <c r="CZ29" s="98"/>
      <c r="DA29" s="98"/>
      <c r="DB29" s="45"/>
      <c r="DC29" s="42"/>
    </row>
    <row r="30" spans="102:107" ht="15" customHeight="1" thickBot="1">
      <c r="CX30" s="92" t="s">
        <v>47</v>
      </c>
      <c r="CY30" s="93">
        <f>CY10</f>
        <v>8</v>
      </c>
      <c r="CZ30" s="94" t="str">
        <f>CZ10</f>
        <v>PETŐ Gábor - PETŐ Adrienn</v>
      </c>
      <c r="DA30" s="95" t="str">
        <f>DA10</f>
        <v>RÓK And Roll, Bp</v>
      </c>
      <c r="DB30" s="45"/>
      <c r="DC30" s="42"/>
    </row>
    <row r="31" spans="102:107" ht="15" customHeight="1" thickBot="1">
      <c r="CX31" s="96"/>
      <c r="CY31" s="97"/>
      <c r="CZ31" s="98"/>
      <c r="DA31" s="98"/>
      <c r="DB31" s="45"/>
      <c r="DC31" s="42"/>
    </row>
    <row r="32" spans="102:107" ht="15" customHeight="1" thickBot="1">
      <c r="CX32" s="92" t="s">
        <v>48</v>
      </c>
      <c r="CY32" s="93">
        <f>CY11</f>
        <v>4</v>
      </c>
      <c r="CZ32" s="94" t="str">
        <f>CZ11</f>
        <v>SCHMIDT Gábor - SCHMIDT-VACHTLER Erzsébet</v>
      </c>
      <c r="DA32" s="95" t="str">
        <f>DA11</f>
        <v>DancEarth TSE, Bp</v>
      </c>
      <c r="DB32" s="45"/>
      <c r="DC32" s="42"/>
    </row>
    <row r="33" spans="102:107" ht="15" customHeight="1" thickBot="1">
      <c r="CX33" s="96"/>
      <c r="CY33" s="97"/>
      <c r="CZ33" s="98"/>
      <c r="DA33" s="98"/>
      <c r="DB33" s="45"/>
      <c r="DC33" s="42"/>
    </row>
    <row r="34" spans="102:107" ht="15" customHeight="1" thickBot="1">
      <c r="CX34" s="92" t="s">
        <v>49</v>
      </c>
      <c r="CY34" s="93">
        <f>CY12</f>
        <v>7</v>
      </c>
      <c r="CZ34" s="94">
        <f>CZ12</f>
      </c>
      <c r="DA34" s="95">
        <f>DA12</f>
      </c>
      <c r="DB34" s="45"/>
      <c r="DC34" s="42"/>
    </row>
    <row r="35" spans="102:107" ht="15" customHeight="1" thickBot="1">
      <c r="CX35" s="96"/>
      <c r="CY35" s="97"/>
      <c r="CZ35" s="98"/>
      <c r="DA35" s="98"/>
      <c r="DB35" s="45"/>
      <c r="DC35" s="42"/>
    </row>
    <row r="36" spans="102:107" ht="15" customHeight="1" thickBot="1">
      <c r="CX36" s="92" t="s">
        <v>50</v>
      </c>
      <c r="CY36" s="93" t="e">
        <f>CY13</f>
        <v>#VALUE!</v>
      </c>
      <c r="CZ36" s="94" t="str">
        <f>CZ13</f>
        <v>CSERÉP János - VIRÁG Éva</v>
      </c>
      <c r="DA36" s="95" t="str">
        <f>DA13</f>
        <v>DancEarth TSE, Bp</v>
      </c>
      <c r="DB36" s="45"/>
      <c r="DC36" s="42"/>
    </row>
    <row r="37" spans="102:107" ht="15" customHeight="1" thickBot="1">
      <c r="CX37" s="96"/>
      <c r="CY37" s="97"/>
      <c r="CZ37" s="98"/>
      <c r="DA37" s="98"/>
      <c r="DB37" s="45"/>
      <c r="DC37" s="42"/>
    </row>
    <row r="38" spans="102:107" ht="15" customHeight="1" thickBot="1">
      <c r="CX38" s="92" t="s">
        <v>51</v>
      </c>
      <c r="CY38" s="93" t="e">
        <f>CY14</f>
        <v>#VALUE!</v>
      </c>
      <c r="CZ38" s="94">
        <f>CZ14</f>
      </c>
      <c r="DA38" s="95">
        <f>DA14</f>
      </c>
      <c r="DB38" s="45"/>
      <c r="DC38" s="42"/>
    </row>
    <row r="39" spans="102:106" ht="15" customHeight="1">
      <c r="CX39" s="81"/>
      <c r="CY39" s="99"/>
      <c r="CZ39" s="100"/>
      <c r="DA39" s="100"/>
      <c r="DB39" s="45"/>
    </row>
    <row r="40" spans="102:106" ht="12.75">
      <c r="CX40" s="45"/>
      <c r="CY40" s="45"/>
      <c r="CZ40" s="45"/>
      <c r="DA40" s="45"/>
      <c r="DB40" s="45"/>
    </row>
    <row r="41" spans="102:105" ht="12.75">
      <c r="CX41" s="45"/>
      <c r="CY41" s="45"/>
      <c r="CZ41" s="45"/>
      <c r="DA41" s="45"/>
    </row>
    <row r="42" spans="102:105" ht="12.75">
      <c r="CX42" s="45"/>
      <c r="CY42" s="45"/>
      <c r="CZ42" s="81"/>
      <c r="DA42" s="45"/>
    </row>
    <row r="43" spans="102:105" ht="12.75">
      <c r="CX43" s="45"/>
      <c r="CY43" s="45"/>
      <c r="CZ43" s="45"/>
      <c r="DA43" s="45"/>
    </row>
    <row r="44" spans="102:105" ht="12.75">
      <c r="CX44" s="45"/>
      <c r="CY44" s="45"/>
      <c r="CZ44" s="45"/>
      <c r="DA44" s="45"/>
    </row>
    <row r="45" spans="102:105" ht="12.75">
      <c r="CX45" s="45"/>
      <c r="CY45" s="45"/>
      <c r="CZ45" s="45"/>
      <c r="DA45" s="45"/>
    </row>
  </sheetData>
  <sheetProtection/>
  <mergeCells count="4">
    <mergeCell ref="M17:N17"/>
    <mergeCell ref="M18:N18"/>
    <mergeCell ref="CX21:DA21"/>
    <mergeCell ref="CX22:DA22"/>
  </mergeCells>
  <conditionalFormatting sqref="D17:J18">
    <cfRule type="cellIs" priority="1" dxfId="0" operator="equal" stopIfTrue="1">
      <formula>"!!!"</formula>
    </cfRule>
  </conditionalFormatting>
  <conditionalFormatting sqref="CM8:CM14">
    <cfRule type="cellIs" priority="2" dxfId="7" operator="equal" stopIfTrue="1">
      <formula>"!!!"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1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.140625" style="28" customWidth="1"/>
    <col min="2" max="2" width="10.00390625" style="22" customWidth="1"/>
    <col min="3" max="3" width="48.57421875" style="2" customWidth="1"/>
    <col min="4" max="4" width="30.421875" style="2" customWidth="1"/>
    <col min="5" max="5" width="9.140625" style="2" customWidth="1"/>
    <col min="6" max="6" width="9.140625" style="2" bestFit="1" customWidth="1"/>
    <col min="7" max="16384" width="9.140625" style="2" customWidth="1"/>
  </cols>
  <sheetData>
    <row r="1" spans="1:13" ht="24" customHeight="1" thickBot="1">
      <c r="A1" s="146"/>
      <c r="B1" s="147"/>
      <c r="C1" s="148" t="s">
        <v>15</v>
      </c>
      <c r="D1" s="149"/>
      <c r="E1" s="174"/>
      <c r="F1" s="241" t="s">
        <v>88</v>
      </c>
      <c r="G1" s="174"/>
      <c r="H1" s="174"/>
      <c r="I1" s="174"/>
      <c r="J1" s="174"/>
      <c r="K1" s="174"/>
      <c r="L1" s="174"/>
      <c r="M1" s="174"/>
    </row>
    <row r="2" spans="1:13" ht="24" customHeight="1" thickBot="1">
      <c r="A2" s="165" t="s">
        <v>6</v>
      </c>
      <c r="B2" s="147"/>
      <c r="C2" s="166" t="str">
        <f>Rajtlista!E1</f>
        <v>Boogie - Woogie</v>
      </c>
      <c r="D2" s="149"/>
      <c r="E2" s="174"/>
      <c r="F2" s="174"/>
      <c r="G2" s="174"/>
      <c r="H2" s="174"/>
      <c r="I2" s="174"/>
      <c r="J2" s="174"/>
      <c r="K2" s="174"/>
      <c r="L2" s="174"/>
      <c r="M2" s="174"/>
    </row>
    <row r="3" spans="1:13" ht="21.75" customHeight="1" thickBot="1">
      <c r="A3" s="167" t="s">
        <v>5</v>
      </c>
      <c r="B3" s="158" t="s">
        <v>0</v>
      </c>
      <c r="C3" s="168" t="s">
        <v>1</v>
      </c>
      <c r="D3" s="169" t="s">
        <v>2</v>
      </c>
      <c r="E3" s="174"/>
      <c r="F3" s="174"/>
      <c r="G3" s="174"/>
      <c r="H3" s="174"/>
      <c r="I3" s="174"/>
      <c r="J3" s="174"/>
      <c r="K3" s="174"/>
      <c r="L3" s="174"/>
      <c r="M3" s="174"/>
    </row>
    <row r="4" spans="1:13" ht="15.75">
      <c r="A4" s="289"/>
      <c r="B4" s="171"/>
      <c r="C4" s="185"/>
      <c r="D4" s="185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15.75">
      <c r="A5" s="230"/>
      <c r="B5" s="186"/>
      <c r="C5" s="187"/>
      <c r="D5" s="187"/>
      <c r="E5" s="174"/>
      <c r="F5" s="174"/>
      <c r="G5" s="174"/>
      <c r="H5" s="174"/>
      <c r="I5" s="174"/>
      <c r="J5" s="174"/>
      <c r="K5" s="174"/>
      <c r="L5" s="174"/>
      <c r="M5" s="174"/>
    </row>
    <row r="6" spans="1:13" ht="15.75">
      <c r="A6" s="230"/>
      <c r="B6" s="186"/>
      <c r="C6" s="187"/>
      <c r="D6" s="187"/>
      <c r="E6" s="174"/>
      <c r="F6" s="174"/>
      <c r="G6" s="174"/>
      <c r="H6" s="174"/>
      <c r="I6" s="174"/>
      <c r="J6" s="174"/>
      <c r="K6" s="174"/>
      <c r="L6" s="174"/>
      <c r="M6" s="174"/>
    </row>
    <row r="7" spans="1:13" ht="15.75">
      <c r="A7" s="230"/>
      <c r="B7" s="186"/>
      <c r="C7" s="187"/>
      <c r="D7" s="187"/>
      <c r="E7" s="174"/>
      <c r="F7" s="174"/>
      <c r="G7" s="174"/>
      <c r="H7" s="174"/>
      <c r="I7" s="174"/>
      <c r="J7" s="174"/>
      <c r="K7" s="174"/>
      <c r="L7" s="174"/>
      <c r="M7" s="174"/>
    </row>
    <row r="8" spans="1:13" ht="15.75">
      <c r="A8" s="230"/>
      <c r="B8" s="186"/>
      <c r="C8" s="187"/>
      <c r="D8" s="187"/>
      <c r="E8" s="174"/>
      <c r="F8" s="174"/>
      <c r="G8" s="174"/>
      <c r="H8" s="174"/>
      <c r="I8" s="174"/>
      <c r="J8" s="174"/>
      <c r="K8" s="174"/>
      <c r="L8" s="174"/>
      <c r="M8" s="174"/>
    </row>
    <row r="9" spans="1:13" ht="15.75">
      <c r="A9" s="230"/>
      <c r="B9" s="186"/>
      <c r="C9" s="187"/>
      <c r="D9" s="187"/>
      <c r="E9" s="174"/>
      <c r="F9" s="174"/>
      <c r="G9" s="174"/>
      <c r="H9" s="174"/>
      <c r="I9" s="174"/>
      <c r="J9" s="174"/>
      <c r="K9" s="174"/>
      <c r="L9" s="174"/>
      <c r="M9" s="174"/>
    </row>
    <row r="10" spans="1:13" ht="15.75">
      <c r="A10" s="230"/>
      <c r="B10" s="186"/>
      <c r="C10" s="187"/>
      <c r="D10" s="187"/>
      <c r="E10" s="174"/>
      <c r="F10" s="174"/>
      <c r="G10" s="174"/>
      <c r="H10" s="174"/>
      <c r="I10" s="174"/>
      <c r="J10" s="174"/>
      <c r="K10" s="174"/>
      <c r="L10" s="174"/>
      <c r="M10" s="174"/>
    </row>
    <row r="11" spans="1:13" ht="15.75">
      <c r="A11" s="230"/>
      <c r="B11" s="186"/>
      <c r="C11" s="187"/>
      <c r="D11" s="187"/>
      <c r="E11" s="174"/>
      <c r="F11" s="174"/>
      <c r="G11" s="174"/>
      <c r="H11" s="174"/>
      <c r="I11" s="174"/>
      <c r="J11" s="174"/>
      <c r="K11" s="174"/>
      <c r="L11" s="174"/>
      <c r="M11" s="174"/>
    </row>
    <row r="12" spans="1:13" ht="15.75">
      <c r="A12" s="230"/>
      <c r="B12" s="186"/>
      <c r="C12" s="187"/>
      <c r="D12" s="187"/>
      <c r="E12" s="174"/>
      <c r="F12" s="174"/>
      <c r="G12" s="174"/>
      <c r="H12" s="174"/>
      <c r="I12" s="174"/>
      <c r="J12" s="174"/>
      <c r="K12" s="174"/>
      <c r="L12" s="174"/>
      <c r="M12" s="174"/>
    </row>
    <row r="13" spans="1:13" ht="15.75">
      <c r="A13" s="230"/>
      <c r="B13" s="186"/>
      <c r="C13" s="187"/>
      <c r="D13" s="187"/>
      <c r="E13" s="174"/>
      <c r="F13" s="174"/>
      <c r="G13" s="174"/>
      <c r="H13" s="174"/>
      <c r="I13" s="174"/>
      <c r="J13" s="174"/>
      <c r="K13" s="174"/>
      <c r="L13" s="174"/>
      <c r="M13" s="174"/>
    </row>
    <row r="14" spans="1:13" ht="15.75">
      <c r="A14" s="230"/>
      <c r="B14" s="186"/>
      <c r="C14" s="187"/>
      <c r="D14" s="187"/>
      <c r="E14" s="174"/>
      <c r="F14" s="174"/>
      <c r="G14" s="174"/>
      <c r="H14" s="174"/>
      <c r="I14" s="174"/>
      <c r="J14" s="174"/>
      <c r="K14" s="174"/>
      <c r="L14" s="174"/>
      <c r="M14" s="174"/>
    </row>
    <row r="15" spans="1:13" ht="15.75">
      <c r="A15" s="230"/>
      <c r="B15" s="186"/>
      <c r="C15" s="187"/>
      <c r="D15" s="187"/>
      <c r="E15" s="174"/>
      <c r="F15" s="174"/>
      <c r="G15" s="174"/>
      <c r="H15" s="174"/>
      <c r="I15" s="174"/>
      <c r="J15" s="174"/>
      <c r="K15" s="174"/>
      <c r="L15" s="174"/>
      <c r="M15" s="174"/>
    </row>
    <row r="16" spans="1:13" ht="15.75">
      <c r="A16" s="230"/>
      <c r="B16" s="186"/>
      <c r="C16" s="187"/>
      <c r="D16" s="187"/>
      <c r="E16" s="174"/>
      <c r="F16" s="174"/>
      <c r="G16" s="174"/>
      <c r="H16" s="174"/>
      <c r="I16" s="174"/>
      <c r="J16" s="174"/>
      <c r="K16" s="174"/>
      <c r="L16" s="174"/>
      <c r="M16" s="174"/>
    </row>
    <row r="17" spans="1:13" ht="15.75">
      <c r="A17" s="230"/>
      <c r="B17" s="186"/>
      <c r="C17" s="187"/>
      <c r="D17" s="187"/>
      <c r="E17" s="174"/>
      <c r="F17" s="174"/>
      <c r="G17" s="174"/>
      <c r="H17" s="174"/>
      <c r="I17" s="174"/>
      <c r="J17" s="174"/>
      <c r="K17" s="174"/>
      <c r="L17" s="174"/>
      <c r="M17" s="174"/>
    </row>
    <row r="18" spans="1:13" ht="15.75">
      <c r="A18" s="230"/>
      <c r="B18" s="186"/>
      <c r="C18" s="187"/>
      <c r="D18" s="187"/>
      <c r="E18" s="174"/>
      <c r="F18" s="174"/>
      <c r="G18" s="174"/>
      <c r="H18" s="174"/>
      <c r="I18" s="174"/>
      <c r="J18" s="174"/>
      <c r="K18" s="174"/>
      <c r="L18" s="174"/>
      <c r="M18" s="174"/>
    </row>
    <row r="19" spans="1:13" ht="15.75">
      <c r="A19" s="230"/>
      <c r="B19" s="186"/>
      <c r="C19" s="187"/>
      <c r="D19" s="187"/>
      <c r="E19" s="174"/>
      <c r="F19" s="174"/>
      <c r="G19" s="174"/>
      <c r="H19" s="174"/>
      <c r="I19" s="174"/>
      <c r="J19" s="174"/>
      <c r="K19" s="174"/>
      <c r="L19" s="174"/>
      <c r="M19" s="174"/>
    </row>
    <row r="20" spans="1:13" ht="15.75">
      <c r="A20" s="230"/>
      <c r="B20" s="186"/>
      <c r="C20" s="187"/>
      <c r="D20" s="187"/>
      <c r="E20" s="174"/>
      <c r="F20" s="174"/>
      <c r="G20" s="174"/>
      <c r="H20" s="174"/>
      <c r="I20" s="174"/>
      <c r="J20" s="174"/>
      <c r="K20" s="174"/>
      <c r="L20" s="174"/>
      <c r="M20" s="174"/>
    </row>
    <row r="21" spans="1:13" ht="15.75">
      <c r="A21" s="230"/>
      <c r="B21" s="186"/>
      <c r="C21" s="187"/>
      <c r="D21" s="187"/>
      <c r="E21" s="174"/>
      <c r="F21" s="174"/>
      <c r="G21" s="174"/>
      <c r="H21" s="174"/>
      <c r="I21" s="174"/>
      <c r="J21" s="174"/>
      <c r="K21" s="174"/>
      <c r="L21" s="174"/>
      <c r="M21" s="174"/>
    </row>
    <row r="22" spans="1:13" ht="15.75">
      <c r="A22" s="230"/>
      <c r="B22" s="186"/>
      <c r="C22" s="187"/>
      <c r="D22" s="187"/>
      <c r="E22" s="174"/>
      <c r="F22" s="174"/>
      <c r="G22" s="174"/>
      <c r="H22" s="174"/>
      <c r="I22" s="174"/>
      <c r="J22" s="174"/>
      <c r="K22" s="174"/>
      <c r="L22" s="174"/>
      <c r="M22" s="174"/>
    </row>
    <row r="23" spans="1:13" ht="15.75">
      <c r="A23" s="230"/>
      <c r="B23" s="186"/>
      <c r="C23" s="187"/>
      <c r="D23" s="187"/>
      <c r="E23" s="174"/>
      <c r="F23" s="174"/>
      <c r="G23" s="174"/>
      <c r="H23" s="174"/>
      <c r="I23" s="174"/>
      <c r="J23" s="174"/>
      <c r="K23" s="174"/>
      <c r="L23" s="174"/>
      <c r="M23" s="174"/>
    </row>
    <row r="24" spans="1:13" ht="15.75">
      <c r="A24" s="230"/>
      <c r="B24" s="186"/>
      <c r="C24" s="187"/>
      <c r="D24" s="187"/>
      <c r="E24" s="174"/>
      <c r="F24" s="174"/>
      <c r="G24" s="174"/>
      <c r="H24" s="174"/>
      <c r="I24" s="174"/>
      <c r="J24" s="174"/>
      <c r="K24" s="174"/>
      <c r="L24" s="174"/>
      <c r="M24" s="174"/>
    </row>
    <row r="25" spans="1:13" ht="15.75">
      <c r="A25" s="230"/>
      <c r="B25" s="186"/>
      <c r="C25" s="187"/>
      <c r="D25" s="187"/>
      <c r="E25" s="174"/>
      <c r="F25" s="174"/>
      <c r="G25" s="174"/>
      <c r="H25" s="174"/>
      <c r="I25" s="174"/>
      <c r="J25" s="174"/>
      <c r="K25" s="174"/>
      <c r="L25" s="174"/>
      <c r="M25" s="174"/>
    </row>
    <row r="26" spans="1:13" ht="15.75">
      <c r="A26" s="230"/>
      <c r="B26" s="186"/>
      <c r="C26" s="187"/>
      <c r="D26" s="187"/>
      <c r="E26" s="174"/>
      <c r="F26" s="174"/>
      <c r="G26" s="174"/>
      <c r="H26" s="174"/>
      <c r="I26" s="174"/>
      <c r="J26" s="174"/>
      <c r="K26" s="174"/>
      <c r="L26" s="174"/>
      <c r="M26" s="174"/>
    </row>
    <row r="27" spans="1:13" ht="15.75">
      <c r="A27" s="230"/>
      <c r="B27" s="186"/>
      <c r="C27" s="187"/>
      <c r="D27" s="187"/>
      <c r="E27" s="174"/>
      <c r="F27" s="174"/>
      <c r="G27" s="174"/>
      <c r="H27" s="174"/>
      <c r="I27" s="174"/>
      <c r="J27" s="174"/>
      <c r="K27" s="174"/>
      <c r="L27" s="174"/>
      <c r="M27" s="174"/>
    </row>
    <row r="28" spans="1:13" ht="15.75">
      <c r="A28" s="230"/>
      <c r="B28" s="186"/>
      <c r="C28" s="187"/>
      <c r="D28" s="187"/>
      <c r="E28" s="174"/>
      <c r="F28" s="174"/>
      <c r="G28" s="174"/>
      <c r="H28" s="174"/>
      <c r="I28" s="174"/>
      <c r="J28" s="174"/>
      <c r="K28" s="174"/>
      <c r="L28" s="174"/>
      <c r="M28" s="174"/>
    </row>
    <row r="29" spans="1:13" ht="16.5" customHeight="1">
      <c r="A29" s="230"/>
      <c r="B29" s="186"/>
      <c r="C29" s="187"/>
      <c r="D29" s="187"/>
      <c r="E29" s="174"/>
      <c r="F29" s="174"/>
      <c r="G29" s="174"/>
      <c r="H29" s="174"/>
      <c r="I29" s="174"/>
      <c r="J29" s="174"/>
      <c r="K29" s="174"/>
      <c r="L29" s="174"/>
      <c r="M29" s="174"/>
    </row>
    <row r="30" spans="1:13" ht="16.5" customHeight="1">
      <c r="A30" s="230"/>
      <c r="B30" s="186"/>
      <c r="C30" s="187"/>
      <c r="D30" s="187"/>
      <c r="E30" s="174"/>
      <c r="F30" s="174"/>
      <c r="G30" s="174"/>
      <c r="H30" s="174"/>
      <c r="I30" s="174"/>
      <c r="J30" s="174"/>
      <c r="K30" s="174"/>
      <c r="L30" s="174"/>
      <c r="M30" s="174"/>
    </row>
    <row r="31" spans="1:13" ht="16.5" customHeight="1">
      <c r="A31" s="230"/>
      <c r="B31" s="186"/>
      <c r="C31" s="187"/>
      <c r="D31" s="187"/>
      <c r="E31" s="174"/>
      <c r="F31" s="174"/>
      <c r="G31" s="174"/>
      <c r="H31" s="174"/>
      <c r="I31" s="174"/>
      <c r="J31" s="174"/>
      <c r="K31" s="174"/>
      <c r="L31" s="174"/>
      <c r="M31" s="174"/>
    </row>
    <row r="32" spans="1:13" ht="16.5" customHeight="1">
      <c r="A32" s="230"/>
      <c r="B32" s="186"/>
      <c r="C32" s="187"/>
      <c r="D32" s="187"/>
      <c r="E32" s="174"/>
      <c r="F32" s="174"/>
      <c r="G32" s="174"/>
      <c r="H32" s="174"/>
      <c r="I32" s="174"/>
      <c r="J32" s="174"/>
      <c r="K32" s="174"/>
      <c r="L32" s="174"/>
      <c r="M32" s="174"/>
    </row>
    <row r="33" spans="1:13" ht="16.5" customHeight="1">
      <c r="A33" s="230"/>
      <c r="B33" s="186"/>
      <c r="C33" s="187"/>
      <c r="D33" s="187"/>
      <c r="E33" s="174"/>
      <c r="F33" s="174"/>
      <c r="G33" s="174"/>
      <c r="H33" s="174"/>
      <c r="I33" s="174"/>
      <c r="J33" s="174"/>
      <c r="K33" s="174"/>
      <c r="L33" s="174"/>
      <c r="M33" s="174"/>
    </row>
    <row r="34" spans="1:13" ht="15.75">
      <c r="A34" s="230"/>
      <c r="B34" s="186"/>
      <c r="C34" s="187"/>
      <c r="D34" s="187"/>
      <c r="E34" s="174"/>
      <c r="F34" s="174"/>
      <c r="G34" s="174"/>
      <c r="H34" s="174"/>
      <c r="I34" s="174"/>
      <c r="J34" s="174"/>
      <c r="K34" s="174"/>
      <c r="L34" s="174"/>
      <c r="M34" s="174"/>
    </row>
    <row r="35" spans="1:13" ht="15.75">
      <c r="A35" s="230"/>
      <c r="B35" s="186"/>
      <c r="C35" s="187"/>
      <c r="D35" s="187"/>
      <c r="E35" s="174"/>
      <c r="F35" s="174"/>
      <c r="G35" s="174"/>
      <c r="H35" s="174"/>
      <c r="I35" s="174"/>
      <c r="J35" s="174"/>
      <c r="K35" s="174"/>
      <c r="L35" s="174"/>
      <c r="M35" s="174"/>
    </row>
    <row r="36" spans="1:13" ht="15.75">
      <c r="A36" s="230"/>
      <c r="B36" s="186"/>
      <c r="C36" s="187"/>
      <c r="D36" s="187"/>
      <c r="E36" s="174"/>
      <c r="F36" s="174"/>
      <c r="G36" s="174"/>
      <c r="H36" s="174"/>
      <c r="I36" s="174"/>
      <c r="J36" s="174"/>
      <c r="K36" s="174"/>
      <c r="L36" s="174"/>
      <c r="M36" s="174"/>
    </row>
    <row r="37" spans="1:13" ht="15.75">
      <c r="A37" s="230"/>
      <c r="B37" s="186"/>
      <c r="C37" s="187"/>
      <c r="D37" s="187"/>
      <c r="E37" s="174"/>
      <c r="F37" s="174"/>
      <c r="G37" s="174"/>
      <c r="H37" s="174"/>
      <c r="I37" s="174"/>
      <c r="J37" s="174"/>
      <c r="K37" s="174"/>
      <c r="L37" s="174"/>
      <c r="M37" s="174"/>
    </row>
    <row r="38" spans="1:13" ht="15.75">
      <c r="A38" s="230"/>
      <c r="B38" s="186"/>
      <c r="C38" s="187"/>
      <c r="D38" s="187"/>
      <c r="E38" s="174"/>
      <c r="F38" s="174"/>
      <c r="G38" s="174"/>
      <c r="H38" s="174"/>
      <c r="I38" s="174"/>
      <c r="J38" s="174"/>
      <c r="K38" s="174"/>
      <c r="L38" s="174"/>
      <c r="M38" s="174"/>
    </row>
    <row r="39" spans="1:13" ht="15.75">
      <c r="A39" s="230"/>
      <c r="B39" s="186"/>
      <c r="C39" s="187"/>
      <c r="D39" s="187"/>
      <c r="E39" s="174"/>
      <c r="F39" s="174"/>
      <c r="G39" s="174"/>
      <c r="H39" s="174"/>
      <c r="I39" s="174"/>
      <c r="J39" s="174"/>
      <c r="K39" s="174"/>
      <c r="L39" s="174"/>
      <c r="M39" s="174"/>
    </row>
    <row r="40" spans="1:13" ht="15.75">
      <c r="A40" s="230"/>
      <c r="B40" s="186"/>
      <c r="C40" s="187"/>
      <c r="D40" s="187"/>
      <c r="E40" s="174"/>
      <c r="F40" s="174"/>
      <c r="G40" s="174"/>
      <c r="H40" s="174"/>
      <c r="I40" s="174"/>
      <c r="J40" s="174"/>
      <c r="K40" s="174"/>
      <c r="L40" s="174"/>
      <c r="M40" s="174"/>
    </row>
    <row r="41" spans="1:13" ht="15.75">
      <c r="A41" s="230"/>
      <c r="B41" s="186"/>
      <c r="C41" s="187"/>
      <c r="D41" s="187"/>
      <c r="E41" s="174"/>
      <c r="F41" s="174"/>
      <c r="G41" s="174"/>
      <c r="H41" s="174"/>
      <c r="I41" s="174"/>
      <c r="J41" s="174"/>
      <c r="K41" s="174"/>
      <c r="L41" s="174"/>
      <c r="M41" s="174"/>
    </row>
    <row r="42" spans="1:13" ht="15.75">
      <c r="A42" s="230"/>
      <c r="B42" s="186"/>
      <c r="C42" s="187"/>
      <c r="D42" s="187"/>
      <c r="E42" s="174"/>
      <c r="F42" s="174"/>
      <c r="G42" s="174"/>
      <c r="H42" s="174"/>
      <c r="I42" s="174"/>
      <c r="J42" s="174"/>
      <c r="K42" s="174"/>
      <c r="L42" s="174"/>
      <c r="M42" s="174"/>
    </row>
    <row r="43" spans="1:13" ht="15.75">
      <c r="A43" s="230"/>
      <c r="B43" s="186"/>
      <c r="C43" s="187"/>
      <c r="D43" s="187"/>
      <c r="E43" s="174"/>
      <c r="F43" s="174"/>
      <c r="G43" s="174"/>
      <c r="H43" s="174"/>
      <c r="I43" s="174"/>
      <c r="J43" s="174"/>
      <c r="K43" s="174"/>
      <c r="L43" s="174"/>
      <c r="M43" s="174"/>
    </row>
    <row r="44" spans="1:13" ht="17.25" customHeight="1">
      <c r="A44" s="230"/>
      <c r="B44" s="186"/>
      <c r="C44" s="187"/>
      <c r="D44" s="187"/>
      <c r="E44" s="174"/>
      <c r="F44" s="174"/>
      <c r="G44" s="174"/>
      <c r="H44" s="174"/>
      <c r="I44" s="174"/>
      <c r="J44" s="174"/>
      <c r="K44" s="174"/>
      <c r="L44" s="174"/>
      <c r="M44" s="174"/>
    </row>
    <row r="45" spans="1:13" ht="17.25" customHeight="1">
      <c r="A45" s="230"/>
      <c r="B45" s="186"/>
      <c r="C45" s="187"/>
      <c r="D45" s="187"/>
      <c r="E45" s="174"/>
      <c r="F45" s="174"/>
      <c r="G45" s="174"/>
      <c r="H45" s="174"/>
      <c r="I45" s="174"/>
      <c r="J45" s="174"/>
      <c r="K45" s="174"/>
      <c r="L45" s="174"/>
      <c r="M45" s="174"/>
    </row>
    <row r="46" spans="1:13" ht="17.25" customHeight="1">
      <c r="A46" s="230"/>
      <c r="B46" s="186"/>
      <c r="C46" s="187"/>
      <c r="D46" s="187"/>
      <c r="E46" s="174"/>
      <c r="F46" s="174"/>
      <c r="G46" s="174"/>
      <c r="H46" s="174"/>
      <c r="I46" s="174"/>
      <c r="J46" s="174"/>
      <c r="K46" s="174"/>
      <c r="L46" s="174"/>
      <c r="M46" s="174"/>
    </row>
    <row r="47" spans="1:13" ht="15.75">
      <c r="A47" s="215"/>
      <c r="B47" s="153"/>
      <c r="C47" s="154"/>
      <c r="D47" s="154"/>
      <c r="E47" s="174"/>
      <c r="F47" s="174"/>
      <c r="G47" s="174"/>
      <c r="H47" s="174"/>
      <c r="I47" s="174"/>
      <c r="J47" s="174"/>
      <c r="K47" s="174"/>
      <c r="L47" s="174"/>
      <c r="M47" s="174"/>
    </row>
    <row r="48" spans="1:13" ht="15.75">
      <c r="A48" s="215"/>
      <c r="B48" s="153"/>
      <c r="C48" s="154"/>
      <c r="D48" s="154"/>
      <c r="E48" s="174"/>
      <c r="F48" s="174"/>
      <c r="G48" s="174"/>
      <c r="H48" s="174"/>
      <c r="I48" s="174"/>
      <c r="J48" s="174"/>
      <c r="K48" s="174"/>
      <c r="L48" s="174"/>
      <c r="M48" s="174"/>
    </row>
    <row r="49" spans="1:13" ht="15.75">
      <c r="A49" s="215"/>
      <c r="B49" s="153"/>
      <c r="C49" s="154"/>
      <c r="D49" s="154"/>
      <c r="E49" s="174"/>
      <c r="F49" s="174"/>
      <c r="G49" s="174"/>
      <c r="H49" s="174"/>
      <c r="I49" s="174"/>
      <c r="J49" s="174"/>
      <c r="K49" s="174"/>
      <c r="L49" s="174"/>
      <c r="M49" s="174"/>
    </row>
    <row r="50" spans="1:13" ht="15.75">
      <c r="A50" s="215"/>
      <c r="B50" s="153"/>
      <c r="C50" s="154"/>
      <c r="D50" s="154"/>
      <c r="E50" s="174"/>
      <c r="F50" s="174"/>
      <c r="G50" s="174"/>
      <c r="H50" s="174"/>
      <c r="I50" s="174"/>
      <c r="J50" s="174"/>
      <c r="K50" s="174"/>
      <c r="L50" s="174"/>
      <c r="M50" s="174"/>
    </row>
    <row r="51" spans="1:13" ht="15.75">
      <c r="A51" s="215"/>
      <c r="B51" s="153"/>
      <c r="C51" s="154"/>
      <c r="D51" s="154"/>
      <c r="E51" s="174"/>
      <c r="F51" s="174"/>
      <c r="G51" s="174"/>
      <c r="H51" s="174"/>
      <c r="I51" s="174"/>
      <c r="J51" s="174"/>
      <c r="K51" s="174"/>
      <c r="L51" s="174"/>
      <c r="M51" s="174"/>
    </row>
    <row r="52" spans="1:13" ht="15.75">
      <c r="A52" s="215"/>
      <c r="B52" s="153"/>
      <c r="C52" s="154"/>
      <c r="D52" s="154"/>
      <c r="E52" s="174"/>
      <c r="F52" s="174"/>
      <c r="G52" s="174"/>
      <c r="H52" s="174"/>
      <c r="I52" s="174"/>
      <c r="J52" s="174"/>
      <c r="K52" s="174"/>
      <c r="L52" s="174"/>
      <c r="M52" s="174"/>
    </row>
    <row r="53" spans="1:13" ht="15.75">
      <c r="A53" s="215"/>
      <c r="B53" s="153"/>
      <c r="C53" s="154"/>
      <c r="D53" s="154"/>
      <c r="E53" s="174"/>
      <c r="F53" s="174"/>
      <c r="G53" s="174"/>
      <c r="H53" s="174"/>
      <c r="I53" s="174"/>
      <c r="J53" s="174"/>
      <c r="K53" s="174"/>
      <c r="L53" s="174"/>
      <c r="M53" s="174"/>
    </row>
    <row r="54" spans="1:13" ht="15.75">
      <c r="A54" s="215"/>
      <c r="B54" s="153"/>
      <c r="C54" s="154"/>
      <c r="D54" s="154"/>
      <c r="E54" s="174"/>
      <c r="F54" s="174"/>
      <c r="G54" s="174"/>
      <c r="H54" s="174"/>
      <c r="I54" s="174"/>
      <c r="J54" s="174"/>
      <c r="K54" s="174"/>
      <c r="L54" s="174"/>
      <c r="M54" s="174"/>
    </row>
    <row r="55" spans="1:13" ht="15.75">
      <c r="A55" s="215"/>
      <c r="B55" s="153"/>
      <c r="C55" s="154"/>
      <c r="D55" s="154"/>
      <c r="E55" s="174"/>
      <c r="F55" s="174"/>
      <c r="G55" s="174"/>
      <c r="H55" s="174"/>
      <c r="I55" s="174"/>
      <c r="J55" s="174"/>
      <c r="K55" s="174"/>
      <c r="L55" s="174"/>
      <c r="M55" s="174"/>
    </row>
    <row r="56" spans="1:13" ht="15.75">
      <c r="A56" s="215"/>
      <c r="B56" s="153"/>
      <c r="C56" s="154"/>
      <c r="D56" s="154"/>
      <c r="E56" s="174"/>
      <c r="F56" s="174"/>
      <c r="G56" s="174"/>
      <c r="H56" s="174"/>
      <c r="I56" s="174"/>
      <c r="J56" s="174"/>
      <c r="K56" s="174"/>
      <c r="L56" s="174"/>
      <c r="M56" s="174"/>
    </row>
    <row r="57" spans="1:13" ht="15.75">
      <c r="A57" s="36"/>
      <c r="B57" s="13"/>
      <c r="C57" s="5"/>
      <c r="D57" s="5"/>
      <c r="E57" s="174"/>
      <c r="F57" s="174"/>
      <c r="G57" s="174"/>
      <c r="H57" s="174"/>
      <c r="I57" s="174"/>
      <c r="J57" s="174"/>
      <c r="K57" s="174"/>
      <c r="L57" s="174"/>
      <c r="M57" s="174"/>
    </row>
    <row r="58" spans="1:13" ht="12.75">
      <c r="A58" s="36"/>
      <c r="B58" s="38"/>
      <c r="C58" s="37"/>
      <c r="D58" s="37"/>
      <c r="E58" s="174"/>
      <c r="F58" s="174"/>
      <c r="G58" s="174"/>
      <c r="H58" s="174"/>
      <c r="I58" s="174"/>
      <c r="J58" s="174"/>
      <c r="K58" s="174"/>
      <c r="L58" s="174"/>
      <c r="M58" s="174"/>
    </row>
    <row r="59" spans="1:13" ht="12.75">
      <c r="A59" s="36"/>
      <c r="B59" s="38"/>
      <c r="C59" s="37"/>
      <c r="D59" s="37"/>
      <c r="E59" s="174"/>
      <c r="F59" s="174"/>
      <c r="G59" s="174"/>
      <c r="H59" s="174"/>
      <c r="I59" s="174"/>
      <c r="J59" s="174"/>
      <c r="K59" s="174"/>
      <c r="L59" s="174"/>
      <c r="M59" s="174"/>
    </row>
    <row r="60" spans="1:13" ht="12.75">
      <c r="A60" s="36"/>
      <c r="B60" s="38"/>
      <c r="C60" s="37"/>
      <c r="D60" s="37"/>
      <c r="E60" s="174"/>
      <c r="F60" s="174"/>
      <c r="G60" s="174"/>
      <c r="H60" s="174"/>
      <c r="I60" s="174"/>
      <c r="J60" s="174"/>
      <c r="K60" s="174"/>
      <c r="L60" s="174"/>
      <c r="M60" s="174"/>
    </row>
    <row r="61" spans="1:13" ht="12.75">
      <c r="A61" s="36"/>
      <c r="B61" s="38"/>
      <c r="C61" s="37"/>
      <c r="D61" s="37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3" ht="12.75">
      <c r="A62" s="36"/>
      <c r="B62" s="38"/>
      <c r="C62" s="37"/>
      <c r="D62" s="37"/>
      <c r="E62" s="174"/>
      <c r="F62" s="174"/>
      <c r="G62" s="174"/>
      <c r="H62" s="174"/>
      <c r="I62" s="174"/>
      <c r="J62" s="174"/>
      <c r="K62" s="174"/>
      <c r="L62" s="174"/>
      <c r="M62" s="174"/>
    </row>
    <row r="63" spans="1:13" ht="12.75">
      <c r="A63" s="36"/>
      <c r="B63" s="38"/>
      <c r="C63" s="37"/>
      <c r="D63" s="37"/>
      <c r="E63" s="174"/>
      <c r="F63" s="174"/>
      <c r="G63" s="174"/>
      <c r="H63" s="174"/>
      <c r="I63" s="174"/>
      <c r="J63" s="174"/>
      <c r="K63" s="174"/>
      <c r="L63" s="174"/>
      <c r="M63" s="174"/>
    </row>
    <row r="64" spans="1:13" ht="12.75">
      <c r="A64" s="36"/>
      <c r="B64" s="38"/>
      <c r="C64" s="37"/>
      <c r="D64" s="37"/>
      <c r="E64" s="174"/>
      <c r="F64" s="174"/>
      <c r="G64" s="174"/>
      <c r="H64" s="174"/>
      <c r="I64" s="174"/>
      <c r="J64" s="174"/>
      <c r="K64" s="174"/>
      <c r="L64" s="174"/>
      <c r="M64" s="174"/>
    </row>
    <row r="65" spans="1:13" ht="12.75">
      <c r="A65" s="36"/>
      <c r="B65" s="38"/>
      <c r="C65" s="37"/>
      <c r="D65" s="37"/>
      <c r="E65" s="174"/>
      <c r="F65" s="174"/>
      <c r="G65" s="174"/>
      <c r="H65" s="174"/>
      <c r="I65" s="174"/>
      <c r="J65" s="174"/>
      <c r="K65" s="174"/>
      <c r="L65" s="174"/>
      <c r="M65" s="174"/>
    </row>
    <row r="66" spans="1:13" ht="12.75">
      <c r="A66" s="36"/>
      <c r="B66" s="38"/>
      <c r="C66" s="37"/>
      <c r="D66" s="37"/>
      <c r="E66" s="174"/>
      <c r="F66" s="174"/>
      <c r="G66" s="174"/>
      <c r="H66" s="174"/>
      <c r="I66" s="174"/>
      <c r="J66" s="174"/>
      <c r="K66" s="174"/>
      <c r="L66" s="174"/>
      <c r="M66" s="174"/>
    </row>
    <row r="67" spans="1:13" ht="12.75">
      <c r="A67" s="36"/>
      <c r="B67" s="38"/>
      <c r="C67" s="37"/>
      <c r="D67" s="37"/>
      <c r="E67" s="174"/>
      <c r="F67" s="174"/>
      <c r="G67" s="174"/>
      <c r="H67" s="174"/>
      <c r="I67" s="174"/>
      <c r="J67" s="174"/>
      <c r="K67" s="174"/>
      <c r="L67" s="174"/>
      <c r="M67" s="174"/>
    </row>
    <row r="68" spans="1:7" ht="12.75">
      <c r="A68" s="132"/>
      <c r="B68" s="133"/>
      <c r="C68" s="127"/>
      <c r="D68" s="127"/>
      <c r="E68" s="127"/>
      <c r="F68" s="127"/>
      <c r="G68" s="127"/>
    </row>
    <row r="69" spans="1:7" ht="12.75">
      <c r="A69" s="132"/>
      <c r="B69" s="133"/>
      <c r="C69" s="127"/>
      <c r="D69" s="127"/>
      <c r="E69" s="127"/>
      <c r="F69" s="127"/>
      <c r="G69" s="127"/>
    </row>
    <row r="70" spans="1:7" ht="12.75">
      <c r="A70" s="132"/>
      <c r="B70" s="133"/>
      <c r="C70" s="127"/>
      <c r="D70" s="127"/>
      <c r="E70" s="127"/>
      <c r="F70" s="127"/>
      <c r="G70" s="127"/>
    </row>
    <row r="71" spans="1:7" ht="12.75">
      <c r="A71" s="132"/>
      <c r="B71" s="133"/>
      <c r="C71" s="127"/>
      <c r="D71" s="127"/>
      <c r="E71" s="127"/>
      <c r="F71" s="127"/>
      <c r="G71" s="127"/>
    </row>
  </sheetData>
  <sheetProtection/>
  <printOptions horizontalCentered="1"/>
  <pageMargins left="0.32" right="0.1968503937007874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0"/>
  <dimension ref="A1:DC45"/>
  <sheetViews>
    <sheetView zoomScalePageLayoutView="0" workbookViewId="0" topLeftCell="A1">
      <selection activeCell="K12" sqref="K12"/>
    </sheetView>
  </sheetViews>
  <sheetFormatPr defaultColWidth="7.57421875" defaultRowHeight="12.75"/>
  <cols>
    <col min="1" max="1" width="7.8515625" style="40" customWidth="1"/>
    <col min="2" max="2" width="6.57421875" style="40" customWidth="1"/>
    <col min="3" max="3" width="0.5625" style="40" customWidth="1"/>
    <col min="4" max="4" width="3.421875" style="40" customWidth="1"/>
    <col min="5" max="8" width="3.28125" style="40" customWidth="1"/>
    <col min="9" max="10" width="3.28125" style="40" hidden="1" customWidth="1"/>
    <col min="11" max="11" width="0.5625" style="40" customWidth="1"/>
    <col min="12" max="16" width="4.140625" style="40" customWidth="1"/>
    <col min="17" max="18" width="4.140625" style="40" hidden="1" customWidth="1"/>
    <col min="19" max="19" width="4.00390625" style="42" hidden="1" customWidth="1"/>
    <col min="20" max="21" width="4.140625" style="40" hidden="1" customWidth="1"/>
    <col min="22" max="23" width="4.140625" style="42" hidden="1" customWidth="1"/>
    <col min="24" max="24" width="4.140625" style="40" hidden="1" customWidth="1"/>
    <col min="25" max="25" width="4.140625" style="42" hidden="1" customWidth="1"/>
    <col min="26" max="40" width="4.57421875" style="40" hidden="1" customWidth="1"/>
    <col min="41" max="41" width="4.57421875" style="42" hidden="1" customWidth="1"/>
    <col min="42" max="46" width="4.57421875" style="40" hidden="1" customWidth="1"/>
    <col min="47" max="47" width="4.57421875" style="42" hidden="1" customWidth="1"/>
    <col min="48" max="52" width="4.57421875" style="40" hidden="1" customWidth="1"/>
    <col min="53" max="53" width="4.57421875" style="42" hidden="1" customWidth="1"/>
    <col min="54" max="58" width="4.57421875" style="40" hidden="1" customWidth="1"/>
    <col min="59" max="59" width="4.57421875" style="42" hidden="1" customWidth="1"/>
    <col min="60" max="65" width="4.57421875" style="40" hidden="1" customWidth="1"/>
    <col min="66" max="66" width="14.8515625" style="43" hidden="1" customWidth="1"/>
    <col min="67" max="77" width="4.57421875" style="43" hidden="1" customWidth="1"/>
    <col min="78" max="78" width="18.7109375" style="43" hidden="1" customWidth="1"/>
    <col min="79" max="87" width="4.57421875" style="43" hidden="1" customWidth="1"/>
    <col min="88" max="88" width="0.5625" style="40" customWidth="1"/>
    <col min="89" max="89" width="6.421875" style="40" customWidth="1"/>
    <col min="90" max="94" width="3.140625" style="40" customWidth="1"/>
    <col min="95" max="95" width="52.57421875" style="121" hidden="1" customWidth="1"/>
    <col min="96" max="96" width="3.28125" style="40" hidden="1" customWidth="1"/>
    <col min="97" max="98" width="7.57421875" style="40" hidden="1" customWidth="1"/>
    <col min="99" max="99" width="42.7109375" style="40" hidden="1" customWidth="1"/>
    <col min="100" max="100" width="26.28125" style="40" hidden="1" customWidth="1"/>
    <col min="101" max="101" width="12.8515625" style="40" hidden="1" customWidth="1"/>
    <col min="102" max="102" width="7.00390625" style="44" hidden="1" customWidth="1"/>
    <col min="103" max="103" width="14.28125" style="44" hidden="1" customWidth="1"/>
    <col min="104" max="104" width="39.8515625" style="44" hidden="1" customWidth="1"/>
    <col min="105" max="105" width="27.140625" style="44" hidden="1" customWidth="1"/>
    <col min="106" max="106" width="7.8515625" style="44" hidden="1" customWidth="1"/>
    <col min="107" max="134" width="7.57421875" style="40" customWidth="1"/>
    <col min="135" max="135" width="10.00390625" style="40" customWidth="1"/>
    <col min="136" max="16384" width="7.57421875" style="40" customWidth="1"/>
  </cols>
  <sheetData>
    <row r="1" spans="1:107" ht="26.25">
      <c r="A1" s="39" t="s">
        <v>30</v>
      </c>
      <c r="D1" s="41"/>
      <c r="E1" s="41" t="str">
        <f>IF(Rajtlista!E1="Töltsd ki","Ne ezt töltsd ki",Rajtlista!E1)</f>
        <v>Boogie - Woogie</v>
      </c>
      <c r="DC1" s="244" t="s">
        <v>88</v>
      </c>
    </row>
    <row r="2" spans="1:5" ht="9" customHeight="1">
      <c r="A2" s="39"/>
      <c r="D2" s="41"/>
      <c r="E2" s="41"/>
    </row>
    <row r="3" spans="1:10" ht="6" customHeight="1">
      <c r="A3" s="39"/>
      <c r="D3" s="41"/>
      <c r="H3" s="41"/>
      <c r="I3" s="41"/>
      <c r="J3" s="41"/>
    </row>
    <row r="4" spans="1:106" ht="5.25" customHeight="1">
      <c r="A4" s="105"/>
      <c r="D4" s="41"/>
      <c r="E4" s="41"/>
      <c r="CX4" s="45"/>
      <c r="CY4" s="45"/>
      <c r="CZ4" s="45"/>
      <c r="DA4" s="45"/>
      <c r="DB4" s="45"/>
    </row>
    <row r="5" spans="1:106" ht="26.25">
      <c r="A5" s="46" t="s">
        <v>31</v>
      </c>
      <c r="B5" s="47"/>
      <c r="D5" s="129" t="s">
        <v>85</v>
      </c>
      <c r="E5" s="48"/>
      <c r="F5" s="48"/>
      <c r="G5" s="48"/>
      <c r="H5" s="48"/>
      <c r="I5" s="48"/>
      <c r="J5" s="48"/>
      <c r="L5" s="71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9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R5" s="50" t="s">
        <v>63</v>
      </c>
      <c r="CX5" s="45"/>
      <c r="CY5" s="106"/>
      <c r="CZ5" s="106"/>
      <c r="DA5" s="106"/>
      <c r="DB5" s="45"/>
    </row>
    <row r="6" spans="1:106" ht="9.75" customHeight="1">
      <c r="A6" s="51"/>
      <c r="B6" s="47"/>
      <c r="D6" s="48"/>
      <c r="E6" s="48"/>
      <c r="F6" s="48"/>
      <c r="G6" s="48"/>
      <c r="H6" s="48"/>
      <c r="I6" s="48"/>
      <c r="J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X6" s="107"/>
      <c r="CY6" s="45"/>
      <c r="CZ6" s="45"/>
      <c r="DA6" s="45"/>
      <c r="DB6" s="45"/>
    </row>
    <row r="7" spans="1:106" ht="18.75" thickBot="1">
      <c r="A7" s="52"/>
      <c r="B7" s="53" t="s">
        <v>32</v>
      </c>
      <c r="D7" s="218" t="s">
        <v>8</v>
      </c>
      <c r="E7" s="218" t="s">
        <v>9</v>
      </c>
      <c r="F7" s="218" t="s">
        <v>10</v>
      </c>
      <c r="G7" s="218" t="s">
        <v>11</v>
      </c>
      <c r="H7" s="218" t="s">
        <v>12</v>
      </c>
      <c r="I7" s="53" t="s">
        <v>33</v>
      </c>
      <c r="J7" s="53" t="s">
        <v>34</v>
      </c>
      <c r="L7" s="54">
        <v>1</v>
      </c>
      <c r="M7" s="54" t="s">
        <v>35</v>
      </c>
      <c r="N7" s="54" t="s">
        <v>36</v>
      </c>
      <c r="O7" s="54" t="s">
        <v>37</v>
      </c>
      <c r="P7" s="54" t="s">
        <v>38</v>
      </c>
      <c r="Q7" s="54" t="s">
        <v>39</v>
      </c>
      <c r="R7" s="54" t="s">
        <v>40</v>
      </c>
      <c r="S7" s="55"/>
      <c r="T7" s="56"/>
      <c r="U7" s="57"/>
      <c r="V7" s="57"/>
      <c r="W7" s="57"/>
      <c r="X7" s="56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8" t="s">
        <v>41</v>
      </c>
      <c r="CL7" s="57"/>
      <c r="CM7" s="57"/>
      <c r="CN7" s="57"/>
      <c r="CO7" s="57"/>
      <c r="CP7" s="57"/>
      <c r="CS7" s="59" t="s">
        <v>41</v>
      </c>
      <c r="CT7" s="59" t="s">
        <v>32</v>
      </c>
      <c r="CU7" s="59" t="s">
        <v>1</v>
      </c>
      <c r="CV7" s="59" t="s">
        <v>42</v>
      </c>
      <c r="CX7" s="107"/>
      <c r="CY7" s="45"/>
      <c r="CZ7" s="45"/>
      <c r="DA7" s="45"/>
      <c r="DB7" s="45"/>
    </row>
    <row r="8" spans="1:106" ht="27" thickBot="1">
      <c r="A8" s="60">
        <f>IF(ISNUMBER(B8)=TRUE,1,"")</f>
        <v>1</v>
      </c>
      <c r="B8" s="118">
        <f>Dont_rajtl!B4</f>
        <v>3</v>
      </c>
      <c r="D8" s="219">
        <v>4</v>
      </c>
      <c r="E8" s="220">
        <v>4</v>
      </c>
      <c r="F8" s="220">
        <v>2</v>
      </c>
      <c r="G8" s="220">
        <v>3</v>
      </c>
      <c r="H8" s="221">
        <v>4</v>
      </c>
      <c r="I8" s="217"/>
      <c r="J8" s="61"/>
      <c r="L8" s="62">
        <f aca="true" t="shared" si="0" ref="L8:L14">IF(COUNTBLANK(D8:H8)=0,COUNTIF(D8:H8,1),"")</f>
        <v>0</v>
      </c>
      <c r="M8" s="62">
        <f aca="true" t="shared" si="1" ref="M8:M14">IF(COUNTBLANK(D8:H8)=0,COUNTIF(D8:H8,"&lt;=2"),"")</f>
        <v>1</v>
      </c>
      <c r="N8" s="62">
        <f aca="true" t="shared" si="2" ref="N8:N14">IF(COUNTBLANK(D8:H8)=0,COUNTIF(D8:H8,"&lt;=3"),"")</f>
        <v>2</v>
      </c>
      <c r="O8" s="62">
        <f aca="true" t="shared" si="3" ref="O8:O14">IF(COUNTBLANK(D8:H8)=0,COUNTIF(D8:H8,"&lt;=4"),"")</f>
        <v>5</v>
      </c>
      <c r="P8" s="62">
        <f aca="true" t="shared" si="4" ref="P8:P14">IF(COUNTBLANK(D8:H8)=0,COUNTIF(D8:H8,"&lt;=5"),"")</f>
        <v>5</v>
      </c>
      <c r="Q8" s="62">
        <f aca="true" t="shared" si="5" ref="Q8:Q14">IF(COUNTBLANK(D8:H8)=0,COUNTIF(D8:H8,"&lt;=6"),"")</f>
        <v>5</v>
      </c>
      <c r="R8" s="62">
        <f aca="true" t="shared" si="6" ref="R8:R14">IF(COUNTBLANK(D8:H8)=0,COUNTIF(D8:H8,"&lt;=7"),"")</f>
        <v>5</v>
      </c>
      <c r="S8" s="63"/>
      <c r="T8" s="62">
        <f aca="true" t="shared" si="7" ref="T8:T14">IF(L8&gt;=3,1,IF(M8&gt;=3,2,IF(N8&gt;=3,3,IF(O8&gt;=3,4,IF(P8&gt;=3,5,IF(Q8&gt;=3,6,IF(R8&gt;=3,7,"")))))))</f>
        <v>4</v>
      </c>
      <c r="U8" s="63"/>
      <c r="V8" s="62" t="str">
        <f aca="true" t="shared" si="8" ref="V8:V14">IF(T8=1,"L",IF(T8=2,"M",IF(T8=3,"N",IF(T8=4,"O",IF(T8=5,"P",IF(T8=6,"Q","R"))))))</f>
        <v>O</v>
      </c>
      <c r="W8" s="63"/>
      <c r="X8" s="62">
        <f ca="1">INDIRECT(CONCATENATE(IF(T8=1,"L",IF(T8=2,"M",IF(T8=3,"N",IF(T8=4,"O",IF(T8=5,"P",IF(T8=6,"Q","R")))))),8))</f>
        <v>5</v>
      </c>
      <c r="Y8" s="62">
        <f>10-X8</f>
        <v>5</v>
      </c>
      <c r="Z8" s="64"/>
      <c r="AA8" s="65" t="str">
        <f aca="true" t="shared" si="9" ref="AA8:AA14">CONCATENATE(0,IF(V8="L",SUMIF(D8:J8,1),IF(V8="M",SUMIF(D8:J8,"&lt;=2"),IF(V8="N",SUMIF(D8:J8,"&lt;=3"),IF(V8="O",SUMIF(D8:J8,"&lt;=4"),IF(V8="P",SUMIF(D8:J8,"&lt;=5"),IF(V8="Q",SUMIF(D8:J8,"&lt;=6"),SUMIF(D8:J8,"&lt;=7"))))))))</f>
        <v>017</v>
      </c>
      <c r="AB8" s="62">
        <f aca="true" t="shared" si="10" ref="AB8:AB14">IF(IF(V8="L",SUMIF(D8:J8,1),IF(V8="M",SUMIF(D8:J8,"&lt;=2"),IF(V8="N",SUMIF(D8:J8,"&lt;=3"),IF(V8="O",SUMIF(D8:J8,"&lt;=4"),IF(V8="P",SUMIF(D8:J8,"&lt;=5"),IF(V8="Q",SUMIF(D8:J8,"&lt;=6"),SUMIF(D8:J8,"&lt;=7")))))))&gt;=10,IF(V8="L",SUMIF(D8:J8,1),IF(V8="M",SUMIF(D8:J8,"&lt;=2"),IF(V8="N",SUMIF(D8:J8,"&lt;=3"),IF(V8="O",SUMIF(D8:J8,"&lt;=4"),IF(V8="P",SUMIF(D8:J8,"&lt;=5"),IF(V8="Q",SUMIF(D8:J8,"&lt;=6"),SUMIF(D8:J8,"&lt;=7"))))))),AA8)</f>
        <v>17</v>
      </c>
      <c r="AC8" s="66"/>
      <c r="AD8" s="62">
        <f ca="1">INDIRECT(CONCATENATE(IF(T8=1,"M",IF(T8=2,"N",IF(T8=3,"O",IF(T8=4,"P",IF(T8=5,"Q","R"))))),8))</f>
        <v>5</v>
      </c>
      <c r="AE8" s="62">
        <f aca="true" t="shared" si="11" ref="AE8:AE14">10-AD8</f>
        <v>5</v>
      </c>
      <c r="AF8" s="66"/>
      <c r="AG8" s="65" t="str">
        <f aca="true" t="shared" si="12" ref="AG8:AG14">CONCATENATE(0,IF(V8="L",SUMIF(D8:J8,"&lt;=2"),IF(V8="M",SUMIF(D8:J8,"&lt;=3"),IF(V8="N",SUMIF(D8:J8,"&lt;=4"),IF(V8="O",SUMIF(D8:J8,"&lt;=5"),IF(V8="P",SUMIF(D8:J8,"&lt;=6"),SUMIF(D8:J8,"&lt;=7")))))))</f>
        <v>017</v>
      </c>
      <c r="AH8" s="62">
        <f aca="true" t="shared" si="13" ref="AH8:AH14">IF(IF(V8="L",SUMIF(D8:J8,"&lt;=2"),IF(V8="M",SUMIF(D8:J8,"&lt;=3"),IF(V8="N",SUMIF(D8:J8,"&lt;=4"),IF(V8="O",SUMIF(D8:J8,"&lt;=5"),IF(V8="P",SUMIF(D8:J8,"&lt;=6"),SUMIF(D8:J8,"&lt;=7"))))))&gt;=10,IF(V8="L",SUMIF(D8:J8,"&lt;=2"),IF(V8="M",SUMIF(D8:J8,"&lt;=3"),IF(V8="N",SUMIF(D8:J8,"&lt;=4"),IF(V8="O",SUMIF(D8:J8,"&lt;=5"),IF(V8="P",SUMIF(D8:J8,"&lt;=6"),SUMIF(D8:J8,"&lt;=7")))))),AG8)</f>
        <v>17</v>
      </c>
      <c r="AI8" s="67"/>
      <c r="AJ8" s="62">
        <f ca="1">INDIRECT(CONCATENATE(IF(T8=1,"N",IF(T8=2,"O",IF(T8=3,"P",IF(T8=4,"Q","R")))),8))</f>
        <v>5</v>
      </c>
      <c r="AK8" s="62">
        <f>10-AJ8</f>
        <v>5</v>
      </c>
      <c r="AL8" s="67"/>
      <c r="AM8" s="65" t="str">
        <f aca="true" t="shared" si="14" ref="AM8:AM14">CONCATENATE(0,IF(V8="L",SUMIF(D8:J8,"&lt;=3"),IF(V8="M",SUMIF(D8:J8,"&lt;=4"),IF(V8="N",SUMIF(D8:J8,"&lt;=5"),IF(V8="O",SUMIF(D8:J8,"&lt;=6"),SUMIF(D8:J8,"&lt;=7"))))))</f>
        <v>017</v>
      </c>
      <c r="AN8" s="62">
        <f aca="true" t="shared" si="15" ref="AN8:AN14">IF(IF(V8="L",SUMIF(D8:J8,"&lt;=3"),IF(V8="M",SUMIF(D8:J8,"&lt;=4"),IF(V8="N",SUMIF(D8:J8,"&lt;=5"),IF(V8="O",SUMIF(D8:J8,"&lt;=6"),SUMIF(D8:J8,"&lt;=7")))))&gt;=10,IF(V8="L",SUMIF(D8:J8,"&lt;=3"),IF(V8="M",SUMIF(D8:J8,"&lt;=4"),IF(V8="N",SUMIF(D8:J8,"&lt;=5"),IF(V8="O",SUMIF(D8:J8,"&lt;=6"),SUMIF(D8:J8,"&lt;=7"))))),AM8)</f>
        <v>17</v>
      </c>
      <c r="AO8" s="66"/>
      <c r="AP8" s="62">
        <f ca="1">INDIRECT(CONCATENATE(IF(T8=1,"O",IF(T8=2,"P",IF(T8=3,"Q","R"))),8))</f>
        <v>5</v>
      </c>
      <c r="AQ8" s="62">
        <f>10-AP8</f>
        <v>5</v>
      </c>
      <c r="AR8" s="67"/>
      <c r="AS8" s="65" t="str">
        <f aca="true" t="shared" si="16" ref="AS8:AS14">CONCATENATE(0,IF(V8="L",SUMIF(D8:J8,"&lt;=4"),IF(V8="M",SUMIF(D8:J8,"&lt;=5"),IF(V8="N",SUMIF(D8:J8,"&lt;=6"),SUMIF(D8:J8,"&lt;=7")))))</f>
        <v>017</v>
      </c>
      <c r="AT8" s="62">
        <f aca="true" t="shared" si="17" ref="AT8:AT14">IF(IF(V8="L",SUMIF(D8:J8,"&lt;=4"),IF(V8="M",SUMIF(D8:J8,"&lt;=5"),IF(V8="N",SUMIF(D8:J8,"&lt;=6"),SUMIF(D8:J8,"&lt;=7"))))&gt;=10,IF(V8="L",SUMIF(D8:J8,"&lt;=4"),IF(V8="M",SUMIF(D8:J8,"&lt;=5"),IF(V8="N",SUMIF(D8:J8,"&lt;=6"),SUMIF(D8:J8,"&lt;=7")))),AS8)</f>
        <v>17</v>
      </c>
      <c r="AU8" s="66"/>
      <c r="AV8" s="62">
        <f ca="1">INDIRECT(CONCATENATE(IF(T8=1,"P",IF(T8=2,"Q","R")),8))</f>
        <v>5</v>
      </c>
      <c r="AW8" s="62">
        <f>10-AV8</f>
        <v>5</v>
      </c>
      <c r="AX8" s="67"/>
      <c r="AY8" s="65" t="str">
        <f aca="true" t="shared" si="18" ref="AY8:AY14">CONCATENATE(0,IF(V8="L",SUMIF(D8:J8,"&lt;=5"),IF(V8="M",SUMIF(D8:J8,"&lt;=6"),SUMIF(D8:J8,"&lt;=7"))))</f>
        <v>017</v>
      </c>
      <c r="AZ8" s="62">
        <f aca="true" t="shared" si="19" ref="AZ8:AZ14">IF(IF(V8="L",SUMIF(D8:J8,"&lt;=5"),IF(V8="M",SUMIF(D8:J8,"&lt;=6"),SUMIF(D8:J8,"&lt;=7")))&gt;=10,IF(V8="L",SUMIF(D8:J8,"&lt;=5"),IF(V8="M",SUMIF(D8:J8,"&lt;=6"),SUMIF(D8:J8,"&lt;=7"))),AY8)</f>
        <v>17</v>
      </c>
      <c r="BA8" s="66"/>
      <c r="BB8" s="62">
        <f ca="1">INDIRECT(CONCATENATE(IF(T8=1,"Q","R"),8))</f>
        <v>5</v>
      </c>
      <c r="BC8" s="62">
        <f>10-BB8</f>
        <v>5</v>
      </c>
      <c r="BD8" s="67"/>
      <c r="BE8" s="65" t="str">
        <f aca="true" t="shared" si="20" ref="BE8:BE14">CONCATENATE(0,IF(V8="L",SUMIF(D8:J8,"&lt;=6"),SUMIF(D8:J8,"&lt;=7")))</f>
        <v>017</v>
      </c>
      <c r="BF8" s="62">
        <f aca="true" t="shared" si="21" ref="BF8:BF14">IF(IF(V8="L",SUMIF(D8:J8,"&lt;=6"),SUMIF(D8:J8,"&lt;=7"))&gt;=10,IF(V8="L",SUMIF(D8:J8,"&lt;=6"),SUMIF(D8:J8,"&lt;=7")),BE8)</f>
        <v>17</v>
      </c>
      <c r="BG8" s="66"/>
      <c r="BH8" s="62">
        <f ca="1">INDIRECT(CONCATENATE("R",8))</f>
        <v>5</v>
      </c>
      <c r="BI8" s="62">
        <f>10-BH8</f>
        <v>5</v>
      </c>
      <c r="BJ8" s="67"/>
      <c r="BK8" s="65" t="str">
        <f>CONCATENATE(0,SUMIF(D8:J8,"&lt;=7"))</f>
        <v>017</v>
      </c>
      <c r="BL8" s="62">
        <f>IF(SUMIF(D8:J8,"&lt;=7")&gt;=10,SUMIF(D8:J8,"&lt;=7"),BK8)</f>
        <v>17</v>
      </c>
      <c r="BM8" s="66"/>
      <c r="BN8" s="68">
        <f>CONCATENATE(T8,Y8,AB8,AE8,AH8,AK8,AN8)/1000</f>
        <v>4517517.517</v>
      </c>
      <c r="BO8" s="69"/>
      <c r="BP8" s="70" t="str">
        <f>IF(F20=1,IF(ISERR(BN8)=TRUE,"",RANK(BN8,BN8:BN8,1)),"0")</f>
        <v>0</v>
      </c>
      <c r="BQ8" s="70" t="str">
        <f>IF(F20=2,IF(ISERR(BN8)=TRUE,"",RANK(BN8,BN8:BN9,1)),"0")</f>
        <v>0</v>
      </c>
      <c r="BR8" s="70" t="str">
        <f>IF(F20=3,IF(ISERR(BN8)=TRUE,"",RANK(BN8,BN8:BN10,1)),"0")</f>
        <v>0</v>
      </c>
      <c r="BS8" s="70" t="str">
        <f>IF(F20=4,IF(ISERR(BN8)=TRUE,"",RANK(BN8,BN8:BN11,1)),"0")</f>
        <v>0</v>
      </c>
      <c r="BT8" s="70">
        <f>IF(F20=5,IF(ISERR(BN8)=TRUE,"",RANK(BN8,BN8:BN12,1)),"0")</f>
        <v>4</v>
      </c>
      <c r="BU8" s="70" t="str">
        <f>IF(F20=6,IF(ISERR(BN8)=TRUE,"",RANK(BN8,BN8:BN13,1)),"0")</f>
        <v>0</v>
      </c>
      <c r="BV8" s="70" t="str">
        <f>IF(F20=7,IF(ISERR(BN8)=TRUE,"",RANK(BN8,BN8:BN14,1)),"0")</f>
        <v>0</v>
      </c>
      <c r="BW8" s="70"/>
      <c r="BX8" s="70">
        <f>SUM(BO8:BV8)</f>
        <v>4</v>
      </c>
      <c r="BY8" s="69"/>
      <c r="BZ8" s="68">
        <f aca="true" t="shared" si="22" ref="BZ8:BZ14">CONCATENATE(BX8,AQ8,AT8,AW8,AZ8,BC8,BF8,BI8,BL8)/1000</f>
        <v>4517517517.517</v>
      </c>
      <c r="CA8" s="68"/>
      <c r="CB8" s="70" t="str">
        <f>IF(F20=1,IF(ISERR(BZ8)=TRUE,"",RANK(BZ8,BZ8:BZ8,1)),"0")</f>
        <v>0</v>
      </c>
      <c r="CC8" s="70" t="str">
        <f>IF(F20=2,IF(ISERR(BZ8)=TRUE,"",RANK(BZ8,BZ8:BZ9,1)),"0")</f>
        <v>0</v>
      </c>
      <c r="CD8" s="70" t="str">
        <f>IF(F20=3,IF(ISERR(BZ8)=TRUE,"",RANK(BZ8,BZ8:BZ10,1)),"0")</f>
        <v>0</v>
      </c>
      <c r="CE8" s="70" t="str">
        <f>IF(F20=4,IF(ISERR(BZ8)=TRUE,"",RANK(BZ8,BZ8:BZ11,1)),"0")</f>
        <v>0</v>
      </c>
      <c r="CF8" s="70">
        <f>IF(F20=5,IF(ISERR(BZ8)=TRUE,"",RANK(BZ8,BZ8:BZ12,1)),"0")</f>
        <v>4</v>
      </c>
      <c r="CG8" s="70" t="str">
        <f>IF(F20=6,IF(ISERR(BZ8)=TRUE,"",RANK(BZ8,BZ8:BZ13,1)),"0")</f>
        <v>0</v>
      </c>
      <c r="CH8" s="70" t="str">
        <f>IF(F20=7,IF(ISERR(BZ8)=TRUE,"",RANK(BZ8,BZ8:BZ14,1)),"0")</f>
        <v>0</v>
      </c>
      <c r="CI8" s="70"/>
      <c r="CJ8" s="66"/>
      <c r="CK8" s="119">
        <f>IF(SUM(CB8:CH8)&gt;0,SUM(CB8:CH8),"")</f>
        <v>4</v>
      </c>
      <c r="CL8" s="48"/>
      <c r="CM8" s="48">
        <f>IF(ISNUMBER(CK8)=TRUE,IF(COUNTIF(CK8:CK14,CK8)=1,"","!!!"),"")</f>
      </c>
      <c r="CN8" s="71">
        <f>IF(CM8="!!!","Holtverseny","")</f>
      </c>
      <c r="CO8" s="48"/>
      <c r="CP8" s="48"/>
      <c r="CS8" s="120">
        <f>IF(ISBLANK(CK8)=TRUE,"",CK8)</f>
        <v>4</v>
      </c>
      <c r="CT8" s="73">
        <f>IF(ISBLANK(B8)=TRUE,"",B8)</f>
        <v>3</v>
      </c>
      <c r="CU8" s="74" t="str">
        <f>Dont_rajtl!C4</f>
        <v>BUJÁKI János - Korda Julia</v>
      </c>
      <c r="CV8" s="108">
        <f>Dont_rajtl!D4</f>
        <v>0</v>
      </c>
      <c r="CX8" s="109">
        <f aca="true" t="shared" si="23" ref="CX8:CX13">IF(CS8="",0,CS8)</f>
        <v>4</v>
      </c>
      <c r="CY8" s="110">
        <f aca="true" t="shared" si="24" ref="CY8:DA13">CT8</f>
        <v>3</v>
      </c>
      <c r="CZ8" s="110" t="str">
        <f t="shared" si="24"/>
        <v>BUJÁKI János - Korda Julia</v>
      </c>
      <c r="DA8" s="110">
        <f t="shared" si="24"/>
        <v>0</v>
      </c>
      <c r="DB8" s="45"/>
    </row>
    <row r="9" spans="1:106" ht="27" thickBot="1">
      <c r="A9" s="60">
        <f>IF(ISNUMBER(B9)=TRUE,2,"")</f>
        <v>2</v>
      </c>
      <c r="B9" s="118">
        <f>Dont_rajtl!B6</f>
        <v>10</v>
      </c>
      <c r="D9" s="222">
        <v>5</v>
      </c>
      <c r="E9" s="61">
        <v>5</v>
      </c>
      <c r="F9" s="61">
        <v>5</v>
      </c>
      <c r="G9" s="61">
        <v>5</v>
      </c>
      <c r="H9" s="223">
        <v>5</v>
      </c>
      <c r="I9" s="217"/>
      <c r="J9" s="61"/>
      <c r="L9" s="62">
        <f t="shared" si="0"/>
        <v>0</v>
      </c>
      <c r="M9" s="62">
        <f t="shared" si="1"/>
        <v>0</v>
      </c>
      <c r="N9" s="62">
        <f t="shared" si="2"/>
        <v>0</v>
      </c>
      <c r="O9" s="62">
        <f t="shared" si="3"/>
        <v>0</v>
      </c>
      <c r="P9" s="62">
        <f t="shared" si="4"/>
        <v>5</v>
      </c>
      <c r="Q9" s="62">
        <f t="shared" si="5"/>
        <v>5</v>
      </c>
      <c r="R9" s="62">
        <f t="shared" si="6"/>
        <v>5</v>
      </c>
      <c r="S9" s="63"/>
      <c r="T9" s="62">
        <f t="shared" si="7"/>
        <v>5</v>
      </c>
      <c r="U9" s="63"/>
      <c r="V9" s="62" t="str">
        <f t="shared" si="8"/>
        <v>P</v>
      </c>
      <c r="W9" s="63"/>
      <c r="X9" s="62">
        <f ca="1">INDIRECT(CONCATENATE(IF(T9=1,"L",IF(T9=2,"M",IF(T9=3,"N",IF(T9=4,"O",IF(T9=5,"P",IF(T9=6,"Q","R")))))),9))</f>
        <v>5</v>
      </c>
      <c r="Y9" s="62">
        <f aca="true" t="shared" si="25" ref="Y9:Y14">10-X9</f>
        <v>5</v>
      </c>
      <c r="Z9" s="64"/>
      <c r="AA9" s="65" t="str">
        <f t="shared" si="9"/>
        <v>025</v>
      </c>
      <c r="AB9" s="62">
        <f t="shared" si="10"/>
        <v>25</v>
      </c>
      <c r="AC9" s="66"/>
      <c r="AD9" s="62">
        <f ca="1">INDIRECT(CONCATENATE(IF(T9=1,"M",IF(T9=2,"N",IF(T9=3,"O",IF(T9=4,"P",IF(T9=5,"Q","R"))))),9))</f>
        <v>5</v>
      </c>
      <c r="AE9" s="62">
        <f t="shared" si="11"/>
        <v>5</v>
      </c>
      <c r="AF9" s="66"/>
      <c r="AG9" s="65" t="str">
        <f t="shared" si="12"/>
        <v>025</v>
      </c>
      <c r="AH9" s="62">
        <f t="shared" si="13"/>
        <v>25</v>
      </c>
      <c r="AI9" s="67"/>
      <c r="AJ9" s="62">
        <f ca="1">INDIRECT(CONCATENATE(IF(T9=1,"N",IF(T9=2,"O",IF(T9=3,"P",IF(T9=4,"Q","R")))),9))</f>
        <v>5</v>
      </c>
      <c r="AK9" s="62">
        <f aca="true" t="shared" si="26" ref="AK9:AK14">10-AJ9</f>
        <v>5</v>
      </c>
      <c r="AL9" s="67"/>
      <c r="AM9" s="65" t="str">
        <f t="shared" si="14"/>
        <v>025</v>
      </c>
      <c r="AN9" s="62">
        <f t="shared" si="15"/>
        <v>25</v>
      </c>
      <c r="AO9" s="66"/>
      <c r="AP9" s="62">
        <f ca="1">INDIRECT(CONCATENATE(IF(T9=1,"O",IF(T9=2,"P",IF(T9=3,"Q","R"))),9))</f>
        <v>5</v>
      </c>
      <c r="AQ9" s="62">
        <f aca="true" t="shared" si="27" ref="AQ9:AQ14">10-AP9</f>
        <v>5</v>
      </c>
      <c r="AR9" s="67"/>
      <c r="AS9" s="65" t="str">
        <f t="shared" si="16"/>
        <v>025</v>
      </c>
      <c r="AT9" s="62">
        <f t="shared" si="17"/>
        <v>25</v>
      </c>
      <c r="AU9" s="66"/>
      <c r="AV9" s="62">
        <f ca="1">INDIRECT(CONCATENATE(IF(T9=1,"P",IF(T9=2,"Q","R")),9))</f>
        <v>5</v>
      </c>
      <c r="AW9" s="62">
        <f aca="true" t="shared" si="28" ref="AW9:AW14">10-AV9</f>
        <v>5</v>
      </c>
      <c r="AX9" s="67"/>
      <c r="AY9" s="65" t="str">
        <f t="shared" si="18"/>
        <v>025</v>
      </c>
      <c r="AZ9" s="62">
        <f t="shared" si="19"/>
        <v>25</v>
      </c>
      <c r="BA9" s="66"/>
      <c r="BB9" s="62">
        <f ca="1">INDIRECT(CONCATENATE(IF(T9=1,"Q","R"),9))</f>
        <v>5</v>
      </c>
      <c r="BC9" s="62">
        <f aca="true" t="shared" si="29" ref="BC9:BC14">10-BB9</f>
        <v>5</v>
      </c>
      <c r="BD9" s="67"/>
      <c r="BE9" s="65" t="str">
        <f t="shared" si="20"/>
        <v>025</v>
      </c>
      <c r="BF9" s="62">
        <f t="shared" si="21"/>
        <v>25</v>
      </c>
      <c r="BG9" s="66"/>
      <c r="BH9" s="62">
        <f ca="1" t="shared" si="30" ref="BH9:BH14">INDIRECT(CONCATENATE("R",8))</f>
        <v>5</v>
      </c>
      <c r="BI9" s="62">
        <f aca="true" t="shared" si="31" ref="BI9:BI14">10-BH9</f>
        <v>5</v>
      </c>
      <c r="BJ9" s="67"/>
      <c r="BK9" s="65" t="str">
        <f aca="true" t="shared" si="32" ref="BK9:BK14">CONCATENATE(0,SUMIF(D9:J9,"&lt;=7"))</f>
        <v>025</v>
      </c>
      <c r="BL9" s="62">
        <f aca="true" t="shared" si="33" ref="BL9:BL14">IF(SUMIF(D9:J9,"&lt;=7")&gt;=10,SUMIF(D9:J9,"&lt;=7"),BK9)</f>
        <v>25</v>
      </c>
      <c r="BM9" s="66"/>
      <c r="BN9" s="68">
        <f aca="true" t="shared" si="34" ref="BN9:BN14">CONCATENATE(T9,Y9,AB9,AE9,AH9,AK9,AN9)/1000</f>
        <v>5525525.525</v>
      </c>
      <c r="BO9" s="69"/>
      <c r="BP9" s="70"/>
      <c r="BQ9" s="70" t="str">
        <f>IF(F20=2,IF(ISERR(BN9)=TRUE,"",RANK(BN9,BN8:BN9,1)),"0")</f>
        <v>0</v>
      </c>
      <c r="BR9" s="70" t="str">
        <f>IF(F20=3,IF(ISERR(BN9)=TRUE,"",RANK(BN9,BN8:BN10,1)),"0")</f>
        <v>0</v>
      </c>
      <c r="BS9" s="70" t="str">
        <f>IF(F20=4,IF(ISERR(BN9)=TRUE,"",RANK(BN9,BN8:BN11,1)),"0")</f>
        <v>0</v>
      </c>
      <c r="BT9" s="70">
        <f>IF(F20=5,IF(ISERR(BN9)=TRUE,"",RANK(BN9,BN8:BN12,1)),"0")</f>
        <v>5</v>
      </c>
      <c r="BU9" s="70" t="str">
        <f>IF(F20=6,IF(ISERR(BN9)=TRUE,"",RANK(BN9,BN8:BN13,1)),"0")</f>
        <v>0</v>
      </c>
      <c r="BV9" s="70" t="str">
        <f>IF(F20=7,IF(ISERR(BN9)=TRUE,"",RANK(BN9,BN8:BN14,1)),"0")</f>
        <v>0</v>
      </c>
      <c r="BW9" s="70"/>
      <c r="BX9" s="70">
        <f aca="true" t="shared" si="35" ref="BX9:BX14">SUM(BO9:BV9)</f>
        <v>5</v>
      </c>
      <c r="BY9" s="69"/>
      <c r="BZ9" s="68">
        <f t="shared" si="22"/>
        <v>5525525525.525</v>
      </c>
      <c r="CA9" s="68"/>
      <c r="CB9" s="70"/>
      <c r="CC9" s="70" t="str">
        <f>IF(F20=2,IF(ISERR(BZ9)=TRUE,"",RANK(BZ9,BZ8:BZ9,1)),"0")</f>
        <v>0</v>
      </c>
      <c r="CD9" s="70" t="str">
        <f>IF(F20=3,IF(ISERR(BZ9)=TRUE,"",RANK(BZ9,BZ8:BZ10,1)),"0")</f>
        <v>0</v>
      </c>
      <c r="CE9" s="70" t="str">
        <f>IF(F20=4,IF(ISERR(BZ9)=TRUE,"",RANK(BZ9,BZ8:BZ11,1)),"0")</f>
        <v>0</v>
      </c>
      <c r="CF9" s="70">
        <f>IF(F20=5,IF(ISERR(BZ9)=TRUE,"",RANK(BZ9,BZ8:BZ12,1)),"0")</f>
        <v>5</v>
      </c>
      <c r="CG9" s="70" t="str">
        <f>IF(F20=6,IF(ISERR(BZ9)=TRUE,"",RANK(BZ9,BZ8:BZ13,1)),"0")</f>
        <v>0</v>
      </c>
      <c r="CH9" s="70" t="str">
        <f>IF(F20=7,IF(ISERR(BZ9)=TRUE,"",RANK(BZ9,BZ8:BZ14,1)),"0")</f>
        <v>0</v>
      </c>
      <c r="CI9" s="70"/>
      <c r="CJ9" s="66"/>
      <c r="CK9" s="119">
        <f aca="true" t="shared" si="36" ref="CK9:CK14">IF(SUM(CB9:CH9)&gt;0,SUM(CB9:CH9),"")</f>
        <v>5</v>
      </c>
      <c r="CL9" s="48"/>
      <c r="CM9" s="48">
        <f>IF(ISNUMBER(CK9)=TRUE,IF(COUNTIF(CK8:CK14,CK9)=1,"","!!!"),"")</f>
      </c>
      <c r="CN9" s="71">
        <f aca="true" t="shared" si="37" ref="CN9:CN14">IF(CM9="!!!","Holtverseny","")</f>
      </c>
      <c r="CO9" s="48"/>
      <c r="CP9" s="48"/>
      <c r="CS9" s="120">
        <f aca="true" t="shared" si="38" ref="CS9:CS14">IF(ISBLANK(CK9)=TRUE,"",CK9)</f>
        <v>5</v>
      </c>
      <c r="CT9" s="73">
        <f aca="true" t="shared" si="39" ref="CT9:CT14">IF(ISBLANK(B9)=TRUE,"",B9)</f>
        <v>10</v>
      </c>
      <c r="CU9" s="74" t="str">
        <f>Dont_rajtl!C6</f>
        <v>DÁNIEL Balázs - KELEMEN Patrícia</v>
      </c>
      <c r="CV9" s="108" t="str">
        <f>Dont_rajtl!D6</f>
        <v>Platina TSE, Győr</v>
      </c>
      <c r="CX9" s="109">
        <f t="shared" si="23"/>
        <v>5</v>
      </c>
      <c r="CY9" s="110">
        <f t="shared" si="24"/>
        <v>10</v>
      </c>
      <c r="CZ9" s="110" t="str">
        <f t="shared" si="24"/>
        <v>DÁNIEL Balázs - KELEMEN Patrícia</v>
      </c>
      <c r="DA9" s="110" t="str">
        <f t="shared" si="24"/>
        <v>Platina TSE, Győr</v>
      </c>
      <c r="DB9" s="45"/>
    </row>
    <row r="10" spans="1:106" ht="27" thickBot="1">
      <c r="A10" s="60">
        <f>IF(ISNUMBER(B10)=TRUE,3,"")</f>
        <v>3</v>
      </c>
      <c r="B10" s="118">
        <f>Dont_rajtl!B8</f>
        <v>8</v>
      </c>
      <c r="D10" s="222">
        <v>1</v>
      </c>
      <c r="E10" s="61">
        <v>1</v>
      </c>
      <c r="F10" s="61">
        <v>3</v>
      </c>
      <c r="G10" s="61">
        <v>2</v>
      </c>
      <c r="H10" s="223">
        <v>2</v>
      </c>
      <c r="I10" s="217"/>
      <c r="J10" s="61"/>
      <c r="L10" s="62">
        <f t="shared" si="0"/>
        <v>2</v>
      </c>
      <c r="M10" s="62">
        <f t="shared" si="1"/>
        <v>4</v>
      </c>
      <c r="N10" s="62">
        <f t="shared" si="2"/>
        <v>5</v>
      </c>
      <c r="O10" s="62">
        <f t="shared" si="3"/>
        <v>5</v>
      </c>
      <c r="P10" s="62">
        <f t="shared" si="4"/>
        <v>5</v>
      </c>
      <c r="Q10" s="62">
        <f t="shared" si="5"/>
        <v>5</v>
      </c>
      <c r="R10" s="62">
        <f t="shared" si="6"/>
        <v>5</v>
      </c>
      <c r="S10" s="63"/>
      <c r="T10" s="62">
        <f t="shared" si="7"/>
        <v>2</v>
      </c>
      <c r="U10" s="63"/>
      <c r="V10" s="62" t="str">
        <f t="shared" si="8"/>
        <v>M</v>
      </c>
      <c r="W10" s="63"/>
      <c r="X10" s="62">
        <f ca="1">INDIRECT(CONCATENATE(IF(T10=1,"L",IF(T10=2,"M",IF(T10=3,"N",IF(T10=4,"O",IF(T10=5,"P",IF(T10=6,"Q","R")))))),10))</f>
        <v>4</v>
      </c>
      <c r="Y10" s="62">
        <f t="shared" si="25"/>
        <v>6</v>
      </c>
      <c r="Z10" s="64"/>
      <c r="AA10" s="65" t="str">
        <f t="shared" si="9"/>
        <v>06</v>
      </c>
      <c r="AB10" s="62" t="str">
        <f t="shared" si="10"/>
        <v>06</v>
      </c>
      <c r="AC10" s="66"/>
      <c r="AD10" s="62">
        <f ca="1">INDIRECT(CONCATENATE(IF(T10=1,"M",IF(T10=2,"N",IF(T10=3,"O",IF(T10=4,"P",IF(T10=5,"Q","R"))))),10))</f>
        <v>5</v>
      </c>
      <c r="AE10" s="62">
        <f t="shared" si="11"/>
        <v>5</v>
      </c>
      <c r="AF10" s="66"/>
      <c r="AG10" s="65" t="str">
        <f t="shared" si="12"/>
        <v>09</v>
      </c>
      <c r="AH10" s="62" t="str">
        <f t="shared" si="13"/>
        <v>09</v>
      </c>
      <c r="AI10" s="67"/>
      <c r="AJ10" s="62">
        <f ca="1">INDIRECT(CONCATENATE(IF(T10=1,"N",IF(T10=2,"O",IF(T10=3,"P",IF(T10=4,"Q","R")))),10))</f>
        <v>5</v>
      </c>
      <c r="AK10" s="62">
        <f t="shared" si="26"/>
        <v>5</v>
      </c>
      <c r="AL10" s="67"/>
      <c r="AM10" s="65" t="str">
        <f t="shared" si="14"/>
        <v>09</v>
      </c>
      <c r="AN10" s="62" t="str">
        <f t="shared" si="15"/>
        <v>09</v>
      </c>
      <c r="AO10" s="66"/>
      <c r="AP10" s="62">
        <f ca="1">INDIRECT(CONCATENATE(IF(T10=1,"O",IF(T10=2,"P",IF(T10=3,"Q","R"))),10))</f>
        <v>5</v>
      </c>
      <c r="AQ10" s="62">
        <f t="shared" si="27"/>
        <v>5</v>
      </c>
      <c r="AR10" s="67"/>
      <c r="AS10" s="65" t="str">
        <f t="shared" si="16"/>
        <v>09</v>
      </c>
      <c r="AT10" s="62" t="str">
        <f t="shared" si="17"/>
        <v>09</v>
      </c>
      <c r="AU10" s="66"/>
      <c r="AV10" s="62">
        <f ca="1">INDIRECT(CONCATENATE(IF(T10=1,"P",IF(T10=2,"Q","R")),10))</f>
        <v>5</v>
      </c>
      <c r="AW10" s="62">
        <f t="shared" si="28"/>
        <v>5</v>
      </c>
      <c r="AX10" s="67"/>
      <c r="AY10" s="65" t="str">
        <f t="shared" si="18"/>
        <v>09</v>
      </c>
      <c r="AZ10" s="62" t="str">
        <f t="shared" si="19"/>
        <v>09</v>
      </c>
      <c r="BA10" s="66"/>
      <c r="BB10" s="62">
        <f ca="1">INDIRECT(CONCATENATE(IF(T10=1,"Q","R"),10))</f>
        <v>5</v>
      </c>
      <c r="BC10" s="62">
        <f t="shared" si="29"/>
        <v>5</v>
      </c>
      <c r="BD10" s="67"/>
      <c r="BE10" s="65" t="str">
        <f t="shared" si="20"/>
        <v>09</v>
      </c>
      <c r="BF10" s="62" t="str">
        <f t="shared" si="21"/>
        <v>09</v>
      </c>
      <c r="BG10" s="66"/>
      <c r="BH10" s="62">
        <f ca="1" t="shared" si="30"/>
        <v>5</v>
      </c>
      <c r="BI10" s="62">
        <f t="shared" si="31"/>
        <v>5</v>
      </c>
      <c r="BJ10" s="67"/>
      <c r="BK10" s="65" t="str">
        <f t="shared" si="32"/>
        <v>09</v>
      </c>
      <c r="BL10" s="62" t="str">
        <f t="shared" si="33"/>
        <v>09</v>
      </c>
      <c r="BM10" s="66"/>
      <c r="BN10" s="68">
        <f t="shared" si="34"/>
        <v>2606509.509</v>
      </c>
      <c r="BO10" s="69"/>
      <c r="BP10" s="70"/>
      <c r="BQ10" s="70"/>
      <c r="BR10" s="70" t="str">
        <f>IF(F20=3,IF(ISERR(BN10)=TRUE,"",RANK(BN10,BN8:BN10,1)),"0")</f>
        <v>0</v>
      </c>
      <c r="BS10" s="70" t="str">
        <f>IF(F20=4,IF(ISERR(BN10)=TRUE,"",RANK(BN10,BN8:BN11,1)),"0")</f>
        <v>0</v>
      </c>
      <c r="BT10" s="70">
        <f>IF(F20=5,IF(ISERR(BN10)=TRUE,"",RANK(BN10,BN8:BN12,1)),"0")</f>
        <v>1</v>
      </c>
      <c r="BU10" s="70" t="str">
        <f>IF(F20=6,IF(ISERR(BN10)=TRUE,"",RANK(BN10,BN8:BN13,1)),"0")</f>
        <v>0</v>
      </c>
      <c r="BV10" s="70" t="str">
        <f>IF(F20=7,IF(ISERR(BN10)=TRUE,"",RANK(BN10,BN8:BN14,1)),"0")</f>
        <v>0</v>
      </c>
      <c r="BW10" s="70"/>
      <c r="BX10" s="70">
        <f t="shared" si="35"/>
        <v>1</v>
      </c>
      <c r="BY10" s="69"/>
      <c r="BZ10" s="68">
        <f t="shared" si="22"/>
        <v>1509509509.509</v>
      </c>
      <c r="CA10" s="68"/>
      <c r="CB10" s="70"/>
      <c r="CC10" s="70"/>
      <c r="CD10" s="70" t="str">
        <f>IF(H5=3,IF(ISERR(BZ10)=TRUE,"",RANK(BZ10,BZ8:BZ10,1)),"0")</f>
        <v>0</v>
      </c>
      <c r="CE10" s="70" t="str">
        <f>IF(F20=4,IF(ISERR(BZ10)=TRUE,"",RANK(BZ10,BZ8:BZ11,1)),"0")</f>
        <v>0</v>
      </c>
      <c r="CF10" s="70">
        <f>IF(F20=5,IF(ISERR(BZ10)=TRUE,"",RANK(BZ10,BZ8:BZ12,1)),"0")</f>
        <v>1</v>
      </c>
      <c r="CG10" s="70" t="str">
        <f>IF(F20=6,IF(ISERR(BZ10)=TRUE,"",RANK(BZ10,BZ8:BZ13,1)),"0")</f>
        <v>0</v>
      </c>
      <c r="CH10" s="70" t="str">
        <f>IF(F20=7,IF(ISERR(BZ10)=TRUE,"",RANK(BZ10,BZ8:BZ14,1)),"0")</f>
        <v>0</v>
      </c>
      <c r="CI10" s="70"/>
      <c r="CJ10" s="66"/>
      <c r="CK10" s="119">
        <f t="shared" si="36"/>
        <v>1</v>
      </c>
      <c r="CL10" s="48"/>
      <c r="CM10" s="48">
        <f>IF(ISNUMBER(CK10)=TRUE,IF(COUNTIF(CK8:CK14,CK10)=1,"","!!!"),"")</f>
      </c>
      <c r="CN10" s="71">
        <f t="shared" si="37"/>
      </c>
      <c r="CO10" s="48"/>
      <c r="CP10" s="48"/>
      <c r="CS10" s="120">
        <f t="shared" si="38"/>
        <v>1</v>
      </c>
      <c r="CT10" s="73">
        <f t="shared" si="39"/>
        <v>8</v>
      </c>
      <c r="CU10" s="74" t="str">
        <f>Dont_rajtl!C8</f>
        <v>PETŐ Gábor - PETŐ Adrienn</v>
      </c>
      <c r="CV10" s="108" t="str">
        <f>Dont_rajtl!D8</f>
        <v>RÓK And Roll, Bp</v>
      </c>
      <c r="CX10" s="109">
        <f t="shared" si="23"/>
        <v>1</v>
      </c>
      <c r="CY10" s="110">
        <f t="shared" si="24"/>
        <v>8</v>
      </c>
      <c r="CZ10" s="110" t="str">
        <f t="shared" si="24"/>
        <v>PETŐ Gábor - PETŐ Adrienn</v>
      </c>
      <c r="DA10" s="110" t="str">
        <f t="shared" si="24"/>
        <v>RÓK And Roll, Bp</v>
      </c>
      <c r="DB10" s="45"/>
    </row>
    <row r="11" spans="1:106" ht="27" thickBot="1">
      <c r="A11" s="60">
        <f>IF(ISNUMBER(B11)=TRUE,4,"")</f>
        <v>4</v>
      </c>
      <c r="B11" s="118">
        <f>Dont_rajtl!B10</f>
        <v>4</v>
      </c>
      <c r="D11" s="222">
        <v>2</v>
      </c>
      <c r="E11" s="61">
        <v>2</v>
      </c>
      <c r="F11" s="61">
        <v>4</v>
      </c>
      <c r="G11" s="61">
        <v>1</v>
      </c>
      <c r="H11" s="223">
        <v>3</v>
      </c>
      <c r="I11" s="217"/>
      <c r="J11" s="61"/>
      <c r="L11" s="62">
        <f t="shared" si="0"/>
        <v>1</v>
      </c>
      <c r="M11" s="62">
        <f t="shared" si="1"/>
        <v>3</v>
      </c>
      <c r="N11" s="62">
        <f t="shared" si="2"/>
        <v>4</v>
      </c>
      <c r="O11" s="62">
        <f t="shared" si="3"/>
        <v>5</v>
      </c>
      <c r="P11" s="62">
        <f t="shared" si="4"/>
        <v>5</v>
      </c>
      <c r="Q11" s="62">
        <f t="shared" si="5"/>
        <v>5</v>
      </c>
      <c r="R11" s="62">
        <f t="shared" si="6"/>
        <v>5</v>
      </c>
      <c r="S11" s="63"/>
      <c r="T11" s="62">
        <f t="shared" si="7"/>
        <v>2</v>
      </c>
      <c r="U11" s="63"/>
      <c r="V11" s="62" t="str">
        <f t="shared" si="8"/>
        <v>M</v>
      </c>
      <c r="W11" s="63"/>
      <c r="X11" s="62">
        <f ca="1">INDIRECT(CONCATENATE(IF(T11=1,"L",IF(T11=2,"M",IF(T11=3,"N",IF(T11=4,"O",IF(T11=5,"P",IF(T11=6,"Q","R")))))),11))</f>
        <v>3</v>
      </c>
      <c r="Y11" s="62">
        <f t="shared" si="25"/>
        <v>7</v>
      </c>
      <c r="Z11" s="64"/>
      <c r="AA11" s="65" t="str">
        <f t="shared" si="9"/>
        <v>05</v>
      </c>
      <c r="AB11" s="62" t="str">
        <f t="shared" si="10"/>
        <v>05</v>
      </c>
      <c r="AC11" s="66"/>
      <c r="AD11" s="62">
        <f ca="1">INDIRECT(CONCATENATE(IF(T11=1,"M",IF(T11=2,"N",IF(T11=3,"O",IF(T11=4,"P",IF(T11=5,"Q","R"))))),11))</f>
        <v>4</v>
      </c>
      <c r="AE11" s="62">
        <f t="shared" si="11"/>
        <v>6</v>
      </c>
      <c r="AF11" s="66"/>
      <c r="AG11" s="65" t="str">
        <f t="shared" si="12"/>
        <v>08</v>
      </c>
      <c r="AH11" s="62" t="str">
        <f t="shared" si="13"/>
        <v>08</v>
      </c>
      <c r="AI11" s="67"/>
      <c r="AJ11" s="62">
        <f ca="1">INDIRECT(CONCATENATE(IF(T11=1,"N",IF(T11=2,"O",IF(T11=3,"P",IF(T11=4,"Q","R")))),11))</f>
        <v>5</v>
      </c>
      <c r="AK11" s="62">
        <f t="shared" si="26"/>
        <v>5</v>
      </c>
      <c r="AL11" s="67"/>
      <c r="AM11" s="65" t="str">
        <f t="shared" si="14"/>
        <v>012</v>
      </c>
      <c r="AN11" s="62">
        <f t="shared" si="15"/>
        <v>12</v>
      </c>
      <c r="AO11" s="66"/>
      <c r="AP11" s="62">
        <f ca="1">INDIRECT(CONCATENATE(IF(T11=1,"O",IF(T11=2,"P",IF(T11=3,"Q","R"))),11))</f>
        <v>5</v>
      </c>
      <c r="AQ11" s="62">
        <f t="shared" si="27"/>
        <v>5</v>
      </c>
      <c r="AR11" s="67"/>
      <c r="AS11" s="65" t="str">
        <f t="shared" si="16"/>
        <v>012</v>
      </c>
      <c r="AT11" s="62">
        <f t="shared" si="17"/>
        <v>12</v>
      </c>
      <c r="AU11" s="66"/>
      <c r="AV11" s="62">
        <f ca="1">INDIRECT(CONCATENATE(IF(T11=1,"P",IF(T11=2,"Q","R")),11))</f>
        <v>5</v>
      </c>
      <c r="AW11" s="62">
        <f t="shared" si="28"/>
        <v>5</v>
      </c>
      <c r="AX11" s="67"/>
      <c r="AY11" s="65" t="str">
        <f t="shared" si="18"/>
        <v>012</v>
      </c>
      <c r="AZ11" s="62">
        <f t="shared" si="19"/>
        <v>12</v>
      </c>
      <c r="BA11" s="66"/>
      <c r="BB11" s="62">
        <f ca="1">INDIRECT(CONCATENATE(IF(T11=1,"Q","R"),11))</f>
        <v>5</v>
      </c>
      <c r="BC11" s="62">
        <f t="shared" si="29"/>
        <v>5</v>
      </c>
      <c r="BD11" s="67"/>
      <c r="BE11" s="65" t="str">
        <f t="shared" si="20"/>
        <v>012</v>
      </c>
      <c r="BF11" s="62">
        <f t="shared" si="21"/>
        <v>12</v>
      </c>
      <c r="BG11" s="66"/>
      <c r="BH11" s="62">
        <f ca="1" t="shared" si="30"/>
        <v>5</v>
      </c>
      <c r="BI11" s="62">
        <f t="shared" si="31"/>
        <v>5</v>
      </c>
      <c r="BJ11" s="67"/>
      <c r="BK11" s="65" t="str">
        <f t="shared" si="32"/>
        <v>012</v>
      </c>
      <c r="BL11" s="62">
        <f t="shared" si="33"/>
        <v>12</v>
      </c>
      <c r="BM11" s="66"/>
      <c r="BN11" s="68">
        <f t="shared" si="34"/>
        <v>2705608.512</v>
      </c>
      <c r="BO11" s="69"/>
      <c r="BP11" s="70"/>
      <c r="BQ11" s="70"/>
      <c r="BR11" s="70"/>
      <c r="BS11" s="70" t="str">
        <f>IF(F20=4,IF(ISERR(BN11)=TRUE,"",RANK(BN11,BN8:BN11,1)),"0")</f>
        <v>0</v>
      </c>
      <c r="BT11" s="70">
        <f>IF(F20=5,IF(ISERR(BN11)=TRUE,"",RANK(BN11,BN8:BN12,1)),"0")</f>
        <v>2</v>
      </c>
      <c r="BU11" s="70" t="str">
        <f>IF(F20=6,IF(ISERR(BN11)=TRUE,"",RANK(BN11,BN8:BN13,1)),"0")</f>
        <v>0</v>
      </c>
      <c r="BV11" s="70" t="str">
        <f>IF(F20=7,IF(ISERR(BN11)=TRUE,"",RANK(BN11,BN8:BN14,1)),"0")</f>
        <v>0</v>
      </c>
      <c r="BW11" s="70"/>
      <c r="BX11" s="70">
        <f t="shared" si="35"/>
        <v>2</v>
      </c>
      <c r="BY11" s="69"/>
      <c r="BZ11" s="68">
        <f t="shared" si="22"/>
        <v>2512512512.512</v>
      </c>
      <c r="CA11" s="68"/>
      <c r="CB11" s="70"/>
      <c r="CC11" s="70"/>
      <c r="CD11" s="70"/>
      <c r="CE11" s="70" t="str">
        <f>IF(F20=4,IF(ISERR(BZ11)=TRUE,"",RANK(BZ11,BZ8:BZ11,1)),"0")</f>
        <v>0</v>
      </c>
      <c r="CF11" s="70">
        <f>IF(F20=5,IF(ISERR(BZ11)=TRUE,"",RANK(BZ11,BZ8:BZ12,1)),"0")</f>
        <v>2</v>
      </c>
      <c r="CG11" s="70" t="str">
        <f>IF(F20=6,IF(ISERR(BZ11)=TRUE,"",RANK(BZ11,BZ8:BZ13,1)),"0")</f>
        <v>0</v>
      </c>
      <c r="CH11" s="70" t="str">
        <f>IF(F20=7,IF(ISERR(BZ11)=TRUE,"",RANK(BZ11,BZ8:BZ14,1)),"0")</f>
        <v>0</v>
      </c>
      <c r="CI11" s="70"/>
      <c r="CJ11" s="66"/>
      <c r="CK11" s="119">
        <f t="shared" si="36"/>
        <v>2</v>
      </c>
      <c r="CL11" s="48"/>
      <c r="CM11" s="48">
        <f>IF(ISNUMBER(CK11)=TRUE,IF(COUNTIF(CK8:CK14,CK11)=1,"","!!!"),"")</f>
      </c>
      <c r="CN11" s="71">
        <f t="shared" si="37"/>
      </c>
      <c r="CO11" s="48"/>
      <c r="CP11" s="48"/>
      <c r="CS11" s="120">
        <f t="shared" si="38"/>
        <v>2</v>
      </c>
      <c r="CT11" s="73">
        <f t="shared" si="39"/>
        <v>4</v>
      </c>
      <c r="CU11" s="74" t="str">
        <f>Dont_rajtl!C10</f>
        <v>SCHMIDT Gábor - SCHMIDT-VACHTLER Erzsébet</v>
      </c>
      <c r="CV11" s="108" t="str">
        <f>Dont_rajtl!D10</f>
        <v>DancEarth TSE, Bp</v>
      </c>
      <c r="CX11" s="109">
        <f t="shared" si="23"/>
        <v>2</v>
      </c>
      <c r="CY11" s="110">
        <f t="shared" si="24"/>
        <v>4</v>
      </c>
      <c r="CZ11" s="110" t="str">
        <f t="shared" si="24"/>
        <v>SCHMIDT Gábor - SCHMIDT-VACHTLER Erzsébet</v>
      </c>
      <c r="DA11" s="110" t="str">
        <f t="shared" si="24"/>
        <v>DancEarth TSE, Bp</v>
      </c>
      <c r="DB11" s="45"/>
    </row>
    <row r="12" spans="1:106" ht="27" thickBot="1">
      <c r="A12" s="60">
        <f>IF(ISNUMBER(B12)=TRUE,5,"")</f>
        <v>5</v>
      </c>
      <c r="B12" s="118">
        <f>Dont_rajtl!B12</f>
        <v>7</v>
      </c>
      <c r="D12" s="222">
        <v>3</v>
      </c>
      <c r="E12" s="61">
        <v>3</v>
      </c>
      <c r="F12" s="61">
        <v>1</v>
      </c>
      <c r="G12" s="61">
        <v>4</v>
      </c>
      <c r="H12" s="223">
        <v>1</v>
      </c>
      <c r="I12" s="217"/>
      <c r="J12" s="61"/>
      <c r="L12" s="62">
        <f t="shared" si="0"/>
        <v>2</v>
      </c>
      <c r="M12" s="62">
        <f t="shared" si="1"/>
        <v>2</v>
      </c>
      <c r="N12" s="62">
        <f t="shared" si="2"/>
        <v>4</v>
      </c>
      <c r="O12" s="62">
        <f t="shared" si="3"/>
        <v>5</v>
      </c>
      <c r="P12" s="62">
        <f t="shared" si="4"/>
        <v>5</v>
      </c>
      <c r="Q12" s="62">
        <f t="shared" si="5"/>
        <v>5</v>
      </c>
      <c r="R12" s="62">
        <f t="shared" si="6"/>
        <v>5</v>
      </c>
      <c r="S12" s="63"/>
      <c r="T12" s="62">
        <f t="shared" si="7"/>
        <v>3</v>
      </c>
      <c r="U12" s="63"/>
      <c r="V12" s="62" t="str">
        <f t="shared" si="8"/>
        <v>N</v>
      </c>
      <c r="W12" s="63"/>
      <c r="X12" s="62">
        <f ca="1">INDIRECT(CONCATENATE(IF(T12=1,"L",IF(T12=2,"M",IF(T12=3,"N",IF(T12=4,"O",IF(T12=5,"P",IF(T12=6,"Q","R")))))),12))</f>
        <v>4</v>
      </c>
      <c r="Y12" s="62">
        <f t="shared" si="25"/>
        <v>6</v>
      </c>
      <c r="Z12" s="64"/>
      <c r="AA12" s="65" t="str">
        <f t="shared" si="9"/>
        <v>08</v>
      </c>
      <c r="AB12" s="62" t="str">
        <f t="shared" si="10"/>
        <v>08</v>
      </c>
      <c r="AC12" s="66"/>
      <c r="AD12" s="62">
        <f ca="1">INDIRECT(CONCATENATE(IF(T12=1,"M",IF(T12=2,"N",IF(T12=3,"O",IF(T12=4,"P",IF(T12=5,"Q","R"))))),12))</f>
        <v>5</v>
      </c>
      <c r="AE12" s="62">
        <f t="shared" si="11"/>
        <v>5</v>
      </c>
      <c r="AF12" s="66"/>
      <c r="AG12" s="65" t="str">
        <f t="shared" si="12"/>
        <v>012</v>
      </c>
      <c r="AH12" s="62">
        <f t="shared" si="13"/>
        <v>12</v>
      </c>
      <c r="AI12" s="67"/>
      <c r="AJ12" s="62">
        <f ca="1">INDIRECT(CONCATENATE(IF(T12=1,"N",IF(T12=2,"O",IF(T12=3,"P",IF(T12=4,"Q","R")))),12))</f>
        <v>5</v>
      </c>
      <c r="AK12" s="62">
        <f t="shared" si="26"/>
        <v>5</v>
      </c>
      <c r="AL12" s="67"/>
      <c r="AM12" s="65" t="str">
        <f t="shared" si="14"/>
        <v>012</v>
      </c>
      <c r="AN12" s="62">
        <f t="shared" si="15"/>
        <v>12</v>
      </c>
      <c r="AO12" s="66"/>
      <c r="AP12" s="62">
        <f ca="1">INDIRECT(CONCATENATE(IF(T12=1,"O",IF(T12=2,"P",IF(T12=3,"Q","R"))),12))</f>
        <v>5</v>
      </c>
      <c r="AQ12" s="62">
        <f t="shared" si="27"/>
        <v>5</v>
      </c>
      <c r="AR12" s="67"/>
      <c r="AS12" s="65" t="str">
        <f t="shared" si="16"/>
        <v>012</v>
      </c>
      <c r="AT12" s="62">
        <f t="shared" si="17"/>
        <v>12</v>
      </c>
      <c r="AU12" s="66"/>
      <c r="AV12" s="62">
        <f ca="1">INDIRECT(CONCATENATE(IF(T12=1,"P",IF(T12=2,"Q","R")),12))</f>
        <v>5</v>
      </c>
      <c r="AW12" s="62">
        <f t="shared" si="28"/>
        <v>5</v>
      </c>
      <c r="AX12" s="67"/>
      <c r="AY12" s="65" t="str">
        <f t="shared" si="18"/>
        <v>012</v>
      </c>
      <c r="AZ12" s="62">
        <f t="shared" si="19"/>
        <v>12</v>
      </c>
      <c r="BA12" s="66"/>
      <c r="BB12" s="62">
        <f ca="1">INDIRECT(CONCATENATE(IF(T12=1,"Q","R"),12))</f>
        <v>5</v>
      </c>
      <c r="BC12" s="62">
        <f t="shared" si="29"/>
        <v>5</v>
      </c>
      <c r="BD12" s="67"/>
      <c r="BE12" s="65" t="str">
        <f t="shared" si="20"/>
        <v>012</v>
      </c>
      <c r="BF12" s="62">
        <f t="shared" si="21"/>
        <v>12</v>
      </c>
      <c r="BG12" s="66"/>
      <c r="BH12" s="62">
        <f ca="1" t="shared" si="30"/>
        <v>5</v>
      </c>
      <c r="BI12" s="62">
        <f t="shared" si="31"/>
        <v>5</v>
      </c>
      <c r="BJ12" s="67"/>
      <c r="BK12" s="65" t="str">
        <f t="shared" si="32"/>
        <v>012</v>
      </c>
      <c r="BL12" s="62">
        <f t="shared" si="33"/>
        <v>12</v>
      </c>
      <c r="BM12" s="66"/>
      <c r="BN12" s="68">
        <f t="shared" si="34"/>
        <v>3608512.512</v>
      </c>
      <c r="BO12" s="69"/>
      <c r="BP12" s="70"/>
      <c r="BQ12" s="70"/>
      <c r="BR12" s="70"/>
      <c r="BS12" s="70"/>
      <c r="BT12" s="70">
        <f>IF(F20=5,IF(ISERR(BN12)=TRUE,"",RANK(BN12,BN8:BN12,1)),"0")</f>
        <v>3</v>
      </c>
      <c r="BU12" s="70" t="str">
        <f>IF(F20=6,IF(ISERR(BN12)=TRUE,"",RANK(BN12,BN8:BN13,1)),"0")</f>
        <v>0</v>
      </c>
      <c r="BV12" s="70" t="str">
        <f>IF(F20=7,IF(ISERR(BN12)=TRUE,"",RANK(BN12,BN8:BN14,1)),"0")</f>
        <v>0</v>
      </c>
      <c r="BW12" s="70"/>
      <c r="BX12" s="70">
        <f t="shared" si="35"/>
        <v>3</v>
      </c>
      <c r="BY12" s="69"/>
      <c r="BZ12" s="68">
        <f t="shared" si="22"/>
        <v>3512512512.512</v>
      </c>
      <c r="CA12" s="68"/>
      <c r="CB12" s="70"/>
      <c r="CC12" s="70"/>
      <c r="CD12" s="70"/>
      <c r="CE12" s="70"/>
      <c r="CF12" s="70">
        <f>IF(F20=5,IF(ISERR(BZ12)=TRUE,"",RANK(BZ12,BZ8:BZ12,1)),"0")</f>
        <v>3</v>
      </c>
      <c r="CG12" s="70" t="str">
        <f>IF(F20=6,IF(ISERR(BZ12)=TRUE,"",RANK(BZ12,BZ8:BZ13,1)),"0")</f>
        <v>0</v>
      </c>
      <c r="CH12" s="70" t="str">
        <f>IF(F20=7,IF(ISERR(BZ12)=TRUE,"",RANK(BZ12,BZ8:BZ14,1)),"0")</f>
        <v>0</v>
      </c>
      <c r="CI12" s="70"/>
      <c r="CJ12" s="66"/>
      <c r="CK12" s="119">
        <f t="shared" si="36"/>
        <v>3</v>
      </c>
      <c r="CL12" s="48"/>
      <c r="CM12" s="48">
        <f>IF(ISNUMBER(CK12)=TRUE,IF(COUNTIF(CK8:CK14,CK12)=1,"","!!!"),"")</f>
      </c>
      <c r="CN12" s="71">
        <f t="shared" si="37"/>
      </c>
      <c r="CO12" s="48"/>
      <c r="CP12" s="48"/>
      <c r="CS12" s="120">
        <f t="shared" si="38"/>
        <v>3</v>
      </c>
      <c r="CT12" s="73">
        <f t="shared" si="39"/>
        <v>7</v>
      </c>
      <c r="CU12" s="74" t="str">
        <f>Dont_rajtl!C12</f>
        <v>CSERÉP János - VIRÁG Éva</v>
      </c>
      <c r="CV12" s="108" t="str">
        <f>Dont_rajtl!D12</f>
        <v>DancEarth TSE, Bp</v>
      </c>
      <c r="CX12" s="109">
        <f t="shared" si="23"/>
        <v>3</v>
      </c>
      <c r="CY12" s="110">
        <f t="shared" si="24"/>
        <v>7</v>
      </c>
      <c r="CZ12" s="110" t="str">
        <f t="shared" si="24"/>
        <v>CSERÉP János - VIRÁG Éva</v>
      </c>
      <c r="DA12" s="110" t="str">
        <f t="shared" si="24"/>
        <v>DancEarth TSE, Bp</v>
      </c>
      <c r="DB12" s="45"/>
    </row>
    <row r="13" spans="1:106" ht="27" thickBot="1">
      <c r="A13" s="60">
        <f>IF(ISNUMBER(B13)=TRUE,6,"")</f>
      </c>
      <c r="B13" s="118">
        <f>Dont_rajtl!B14</f>
      </c>
      <c r="D13" s="222"/>
      <c r="E13" s="61"/>
      <c r="F13" s="61"/>
      <c r="G13" s="61"/>
      <c r="H13" s="223"/>
      <c r="I13" s="217"/>
      <c r="J13" s="61"/>
      <c r="L13" s="62">
        <f t="shared" si="0"/>
      </c>
      <c r="M13" s="62">
        <f t="shared" si="1"/>
      </c>
      <c r="N13" s="62">
        <f t="shared" si="2"/>
      </c>
      <c r="O13" s="62">
        <f t="shared" si="3"/>
      </c>
      <c r="P13" s="62">
        <f t="shared" si="4"/>
      </c>
      <c r="Q13" s="62">
        <f t="shared" si="5"/>
      </c>
      <c r="R13" s="62">
        <f t="shared" si="6"/>
      </c>
      <c r="S13" s="63"/>
      <c r="T13" s="62">
        <f t="shared" si="7"/>
        <v>1</v>
      </c>
      <c r="U13" s="63"/>
      <c r="V13" s="62" t="str">
        <f t="shared" si="8"/>
        <v>L</v>
      </c>
      <c r="W13" s="63"/>
      <c r="X13" s="62">
        <f ca="1">INDIRECT(CONCATENATE(IF(T13=1,"L",IF(T13=2,"M",IF(T13=3,"N",IF(T13=4,"O",IF(T13=5,"P",IF(T13=6,"Q","R")))))),13))</f>
      </c>
      <c r="Y13" s="62" t="e">
        <f t="shared" si="25"/>
        <v>#VALUE!</v>
      </c>
      <c r="Z13" s="64"/>
      <c r="AA13" s="65" t="str">
        <f t="shared" si="9"/>
        <v>00</v>
      </c>
      <c r="AB13" s="62" t="str">
        <f t="shared" si="10"/>
        <v>00</v>
      </c>
      <c r="AC13" s="66"/>
      <c r="AD13" s="62">
        <f ca="1">INDIRECT(CONCATENATE(IF(T13=1,"M",IF(T13=2,"N",IF(T13=3,"O",IF(T13=4,"P",IF(T13=5,"Q","R"))))),13))</f>
      </c>
      <c r="AE13" s="62" t="e">
        <f t="shared" si="11"/>
        <v>#VALUE!</v>
      </c>
      <c r="AF13" s="66"/>
      <c r="AG13" s="65" t="str">
        <f t="shared" si="12"/>
        <v>00</v>
      </c>
      <c r="AH13" s="62" t="str">
        <f t="shared" si="13"/>
        <v>00</v>
      </c>
      <c r="AI13" s="67"/>
      <c r="AJ13" s="62">
        <f ca="1">INDIRECT(CONCATENATE(IF(T13=1,"N",IF(T13=2,"O",IF(T13=3,"P",IF(T13=4,"Q","R")))),13))</f>
      </c>
      <c r="AK13" s="62" t="e">
        <f t="shared" si="26"/>
        <v>#VALUE!</v>
      </c>
      <c r="AL13" s="67"/>
      <c r="AM13" s="65" t="str">
        <f t="shared" si="14"/>
        <v>00</v>
      </c>
      <c r="AN13" s="62" t="str">
        <f t="shared" si="15"/>
        <v>00</v>
      </c>
      <c r="AO13" s="66"/>
      <c r="AP13" s="62">
        <f ca="1">INDIRECT(CONCATENATE(IF(T13=1,"O",IF(T13=2,"P",IF(T13=3,"Q","R"))),13))</f>
      </c>
      <c r="AQ13" s="62" t="e">
        <f t="shared" si="27"/>
        <v>#VALUE!</v>
      </c>
      <c r="AR13" s="67"/>
      <c r="AS13" s="65" t="str">
        <f t="shared" si="16"/>
        <v>00</v>
      </c>
      <c r="AT13" s="62" t="str">
        <f t="shared" si="17"/>
        <v>00</v>
      </c>
      <c r="AU13" s="66"/>
      <c r="AV13" s="62">
        <f ca="1">INDIRECT(CONCATENATE(IF(T13=1,"P",IF(T13=2,"Q","R")),13))</f>
      </c>
      <c r="AW13" s="62" t="e">
        <f t="shared" si="28"/>
        <v>#VALUE!</v>
      </c>
      <c r="AX13" s="67"/>
      <c r="AY13" s="65" t="str">
        <f t="shared" si="18"/>
        <v>00</v>
      </c>
      <c r="AZ13" s="62" t="str">
        <f t="shared" si="19"/>
        <v>00</v>
      </c>
      <c r="BA13" s="66"/>
      <c r="BB13" s="62">
        <f ca="1">INDIRECT(CONCATENATE(IF(T13=1,"Q","R"),13))</f>
      </c>
      <c r="BC13" s="62" t="e">
        <f t="shared" si="29"/>
        <v>#VALUE!</v>
      </c>
      <c r="BD13" s="67"/>
      <c r="BE13" s="65" t="str">
        <f t="shared" si="20"/>
        <v>00</v>
      </c>
      <c r="BF13" s="62" t="str">
        <f t="shared" si="21"/>
        <v>00</v>
      </c>
      <c r="BG13" s="66"/>
      <c r="BH13" s="62">
        <f ca="1" t="shared" si="30"/>
        <v>5</v>
      </c>
      <c r="BI13" s="62">
        <f t="shared" si="31"/>
        <v>5</v>
      </c>
      <c r="BJ13" s="67"/>
      <c r="BK13" s="65" t="str">
        <f t="shared" si="32"/>
        <v>00</v>
      </c>
      <c r="BL13" s="62" t="str">
        <f t="shared" si="33"/>
        <v>00</v>
      </c>
      <c r="BM13" s="66"/>
      <c r="BN13" s="68" t="e">
        <f t="shared" si="34"/>
        <v>#VALUE!</v>
      </c>
      <c r="BO13" s="69"/>
      <c r="BP13" s="70"/>
      <c r="BQ13" s="70"/>
      <c r="BR13" s="70"/>
      <c r="BS13" s="70"/>
      <c r="BT13" s="70"/>
      <c r="BU13" s="70" t="str">
        <f>IF(F20=6,IF(ISERR(BN13)=TRUE,"",RANK(BN13,BN8:BN13,1)),"0")</f>
        <v>0</v>
      </c>
      <c r="BV13" s="70" t="str">
        <f>IF(F20=7,IF(ISERR(BN13)=TRUE,"",RANK(BN13,BN8:BN14,1)),"0")</f>
        <v>0</v>
      </c>
      <c r="BW13" s="70"/>
      <c r="BX13" s="70">
        <f t="shared" si="35"/>
        <v>0</v>
      </c>
      <c r="BY13" s="69"/>
      <c r="BZ13" s="68" t="e">
        <f t="shared" si="22"/>
        <v>#VALUE!</v>
      </c>
      <c r="CA13" s="68"/>
      <c r="CB13" s="70"/>
      <c r="CC13" s="70"/>
      <c r="CD13" s="70"/>
      <c r="CE13" s="70"/>
      <c r="CF13" s="70"/>
      <c r="CG13" s="70" t="str">
        <f>IF(F20=6,IF(ISERR(BZ13)=TRUE,"",RANK(BZ13,BZ8:BZ13,1)),"0")</f>
        <v>0</v>
      </c>
      <c r="CH13" s="70" t="str">
        <f>IF(F20=7,IF(ISERR(BZ13)=TRUE,"",RANK(BZ13,BZ8:BZ14,1)),"0")</f>
        <v>0</v>
      </c>
      <c r="CI13" s="70"/>
      <c r="CJ13" s="66"/>
      <c r="CK13" s="119">
        <f t="shared" si="36"/>
      </c>
      <c r="CL13" s="48"/>
      <c r="CM13" s="48">
        <f>IF(ISNUMBER(CK13)=TRUE,IF(COUNTIF(CK8:CK14,CK13)=1,"","!!!"),"")</f>
      </c>
      <c r="CN13" s="71">
        <f t="shared" si="37"/>
      </c>
      <c r="CO13" s="48"/>
      <c r="CP13" s="48"/>
      <c r="CS13" s="120">
        <f t="shared" si="38"/>
      </c>
      <c r="CT13" s="73">
        <f t="shared" si="39"/>
      </c>
      <c r="CU13" s="74">
        <f>Dont_rajtl!C14</f>
      </c>
      <c r="CV13" s="108">
        <f>Dont_rajtl!D14</f>
      </c>
      <c r="CX13" s="109">
        <f t="shared" si="23"/>
        <v>0</v>
      </c>
      <c r="CY13" s="110">
        <f t="shared" si="24"/>
      </c>
      <c r="CZ13" s="110">
        <f t="shared" si="24"/>
      </c>
      <c r="DA13" s="110">
        <f t="shared" si="24"/>
      </c>
      <c r="DB13" s="45"/>
    </row>
    <row r="14" spans="1:106" ht="27" thickBot="1">
      <c r="A14" s="60">
        <f>IF(ISNUMBER(B14)=TRUE,7,"")</f>
      </c>
      <c r="B14" s="118" t="str">
        <f>Dont_rajtl!B16</f>
        <v> </v>
      </c>
      <c r="D14" s="224"/>
      <c r="E14" s="225"/>
      <c r="F14" s="225"/>
      <c r="G14" s="225"/>
      <c r="H14" s="226"/>
      <c r="I14" s="217"/>
      <c r="J14" s="61"/>
      <c r="L14" s="62">
        <f t="shared" si="0"/>
      </c>
      <c r="M14" s="62">
        <f t="shared" si="1"/>
      </c>
      <c r="N14" s="62">
        <f t="shared" si="2"/>
      </c>
      <c r="O14" s="62">
        <f t="shared" si="3"/>
      </c>
      <c r="P14" s="62">
        <f t="shared" si="4"/>
      </c>
      <c r="Q14" s="62">
        <f t="shared" si="5"/>
      </c>
      <c r="R14" s="62">
        <f t="shared" si="6"/>
      </c>
      <c r="S14" s="63"/>
      <c r="T14" s="62">
        <f t="shared" si="7"/>
        <v>1</v>
      </c>
      <c r="U14" s="63"/>
      <c r="V14" s="62" t="str">
        <f t="shared" si="8"/>
        <v>L</v>
      </c>
      <c r="W14" s="63"/>
      <c r="X14" s="62">
        <f ca="1">INDIRECT(CONCATENATE(IF(T14=1,"L",IF(T14=2,"M",IF(T14=3,"N",IF(T14=4,"O",IF(T14=5,"P",IF(T14=6,"Q","R")))))),14))</f>
      </c>
      <c r="Y14" s="62" t="e">
        <f t="shared" si="25"/>
        <v>#VALUE!</v>
      </c>
      <c r="Z14" s="64"/>
      <c r="AA14" s="65" t="str">
        <f t="shared" si="9"/>
        <v>00</v>
      </c>
      <c r="AB14" s="62" t="str">
        <f t="shared" si="10"/>
        <v>00</v>
      </c>
      <c r="AC14" s="66"/>
      <c r="AD14" s="62">
        <f ca="1">INDIRECT(CONCATENATE(IF(T14=1,"M",IF(T14=2,"N",IF(T14=3,"O",IF(T14=4,"P",IF(T14=5,"Q","R"))))),14))</f>
      </c>
      <c r="AE14" s="62" t="e">
        <f t="shared" si="11"/>
        <v>#VALUE!</v>
      </c>
      <c r="AF14" s="66"/>
      <c r="AG14" s="65" t="str">
        <f t="shared" si="12"/>
        <v>00</v>
      </c>
      <c r="AH14" s="62" t="str">
        <f t="shared" si="13"/>
        <v>00</v>
      </c>
      <c r="AI14" s="67"/>
      <c r="AJ14" s="62">
        <f ca="1">INDIRECT(CONCATENATE(IF(T14=1,"N",IF(T14=2,"O",IF(T14=3,"P",IF(T14=4,"Q","R")))),14))</f>
      </c>
      <c r="AK14" s="62" t="e">
        <f t="shared" si="26"/>
        <v>#VALUE!</v>
      </c>
      <c r="AL14" s="67"/>
      <c r="AM14" s="65" t="str">
        <f t="shared" si="14"/>
        <v>00</v>
      </c>
      <c r="AN14" s="62" t="str">
        <f t="shared" si="15"/>
        <v>00</v>
      </c>
      <c r="AO14" s="66"/>
      <c r="AP14" s="62">
        <f ca="1">INDIRECT(CONCATENATE(IF(T14=1,"O",IF(T14=2,"P",IF(T14=3,"Q","R"))),14))</f>
      </c>
      <c r="AQ14" s="62" t="e">
        <f t="shared" si="27"/>
        <v>#VALUE!</v>
      </c>
      <c r="AR14" s="67"/>
      <c r="AS14" s="65" t="str">
        <f t="shared" si="16"/>
        <v>00</v>
      </c>
      <c r="AT14" s="62" t="str">
        <f t="shared" si="17"/>
        <v>00</v>
      </c>
      <c r="AU14" s="66"/>
      <c r="AV14" s="62">
        <f ca="1">INDIRECT(CONCATENATE(IF(T14=1,"P",IF(T14=2,"Q","R")),14))</f>
      </c>
      <c r="AW14" s="62" t="e">
        <f t="shared" si="28"/>
        <v>#VALUE!</v>
      </c>
      <c r="AX14" s="67"/>
      <c r="AY14" s="65" t="str">
        <f t="shared" si="18"/>
        <v>00</v>
      </c>
      <c r="AZ14" s="62" t="str">
        <f t="shared" si="19"/>
        <v>00</v>
      </c>
      <c r="BA14" s="66"/>
      <c r="BB14" s="62">
        <f ca="1">INDIRECT(CONCATENATE(IF(T14=1,"Q","R"),14))</f>
      </c>
      <c r="BC14" s="62" t="e">
        <f t="shared" si="29"/>
        <v>#VALUE!</v>
      </c>
      <c r="BD14" s="67"/>
      <c r="BE14" s="65" t="str">
        <f t="shared" si="20"/>
        <v>00</v>
      </c>
      <c r="BF14" s="62" t="str">
        <f t="shared" si="21"/>
        <v>00</v>
      </c>
      <c r="BG14" s="66"/>
      <c r="BH14" s="62">
        <f ca="1" t="shared" si="30"/>
        <v>5</v>
      </c>
      <c r="BI14" s="62">
        <f t="shared" si="31"/>
        <v>5</v>
      </c>
      <c r="BJ14" s="67"/>
      <c r="BK14" s="65" t="str">
        <f t="shared" si="32"/>
        <v>00</v>
      </c>
      <c r="BL14" s="62" t="str">
        <f t="shared" si="33"/>
        <v>00</v>
      </c>
      <c r="BM14" s="66"/>
      <c r="BN14" s="68" t="e">
        <f t="shared" si="34"/>
        <v>#VALUE!</v>
      </c>
      <c r="BO14" s="69"/>
      <c r="BP14" s="70"/>
      <c r="BQ14" s="70"/>
      <c r="BR14" s="70"/>
      <c r="BS14" s="70"/>
      <c r="BT14" s="70"/>
      <c r="BU14" s="70"/>
      <c r="BV14" s="70" t="str">
        <f>IF(F20=7,IF(ISERR(BN14)=TRUE,"",RANK(BN14,BN8:BN14,1)),"0")</f>
        <v>0</v>
      </c>
      <c r="BW14" s="70"/>
      <c r="BX14" s="70">
        <f t="shared" si="35"/>
        <v>0</v>
      </c>
      <c r="BY14" s="69"/>
      <c r="BZ14" s="68" t="e">
        <f t="shared" si="22"/>
        <v>#VALUE!</v>
      </c>
      <c r="CA14" s="68"/>
      <c r="CB14" s="70"/>
      <c r="CC14" s="70"/>
      <c r="CD14" s="70"/>
      <c r="CE14" s="70"/>
      <c r="CF14" s="70"/>
      <c r="CG14" s="70"/>
      <c r="CH14" s="70" t="str">
        <f>IF(F20=7,IF(ISERR(BZ14)=TRUE,"",RANK(BZ14,BZ8:BZ14,1)),"0")</f>
        <v>0</v>
      </c>
      <c r="CI14" s="70"/>
      <c r="CJ14" s="66"/>
      <c r="CK14" s="119">
        <f t="shared" si="36"/>
      </c>
      <c r="CL14" s="48"/>
      <c r="CM14" s="48">
        <f>IF(ISNUMBER(CK14)=TRUE,IF(COUNTIF(CK8:CK14,CK14)=1,"","!!!"),"")</f>
      </c>
      <c r="CN14" s="71">
        <f t="shared" si="37"/>
      </c>
      <c r="CO14" s="48"/>
      <c r="CP14" s="48"/>
      <c r="CS14" s="120">
        <f t="shared" si="38"/>
      </c>
      <c r="CT14" s="73" t="str">
        <f t="shared" si="39"/>
        <v> </v>
      </c>
      <c r="CU14" s="74">
        <f>Dont_rajtl!C16</f>
      </c>
      <c r="CV14" s="108">
        <f>Dont_rajtl!D16</f>
      </c>
      <c r="CX14" s="109">
        <f>IF(CS14="",0,CS14)</f>
        <v>0</v>
      </c>
      <c r="CY14" s="110" t="str">
        <f>CT14</f>
        <v> </v>
      </c>
      <c r="CZ14" s="110">
        <f>CU14</f>
      </c>
      <c r="DA14" s="110">
        <f>CV14</f>
      </c>
      <c r="DB14" s="45"/>
    </row>
    <row r="15" spans="1:106" ht="27" thickBot="1">
      <c r="A15" s="60"/>
      <c r="B15" s="75"/>
      <c r="C15" s="42"/>
      <c r="D15" s="42"/>
      <c r="E15" s="48"/>
      <c r="F15" s="48"/>
      <c r="G15" s="48"/>
      <c r="H15" s="48"/>
      <c r="I15" s="48"/>
      <c r="J15" s="48"/>
      <c r="K15" s="42"/>
      <c r="L15" s="76"/>
      <c r="M15" s="76"/>
      <c r="N15" s="76"/>
      <c r="O15" s="76"/>
      <c r="P15" s="76"/>
      <c r="Q15" s="76"/>
      <c r="R15" s="76"/>
      <c r="S15" s="48"/>
      <c r="T15" s="76"/>
      <c r="U15" s="48"/>
      <c r="V15" s="48"/>
      <c r="W15" s="48"/>
      <c r="X15" s="77"/>
      <c r="Y15" s="78"/>
      <c r="Z15" s="78"/>
      <c r="AA15" s="78"/>
      <c r="AB15" s="78"/>
      <c r="AC15" s="48"/>
      <c r="AD15" s="78"/>
      <c r="AE15" s="78"/>
      <c r="AF15" s="78"/>
      <c r="AG15" s="78"/>
      <c r="AH15" s="78"/>
      <c r="AI15" s="48"/>
      <c r="AJ15" s="78"/>
      <c r="AK15" s="78"/>
      <c r="AL15" s="78"/>
      <c r="AM15" s="78"/>
      <c r="AN15" s="78"/>
      <c r="AO15" s="48"/>
      <c r="AP15" s="78"/>
      <c r="AQ15" s="78"/>
      <c r="AR15" s="78"/>
      <c r="AS15" s="78"/>
      <c r="AT15" s="78"/>
      <c r="AU15" s="48"/>
      <c r="AV15" s="78"/>
      <c r="AW15" s="78"/>
      <c r="AX15" s="78"/>
      <c r="AY15" s="78"/>
      <c r="AZ15" s="78"/>
      <c r="BA15" s="48"/>
      <c r="BB15" s="78"/>
      <c r="BC15" s="78"/>
      <c r="BD15" s="78"/>
      <c r="BE15" s="78"/>
      <c r="BF15" s="78"/>
      <c r="BG15" s="48"/>
      <c r="BH15" s="78"/>
      <c r="BI15" s="78"/>
      <c r="BJ15" s="78"/>
      <c r="BK15" s="78"/>
      <c r="BL15" s="7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76"/>
      <c r="CL15" s="48"/>
      <c r="CM15" s="48"/>
      <c r="CN15" s="48"/>
      <c r="CO15" s="48"/>
      <c r="CP15" s="48"/>
      <c r="CX15" s="45"/>
      <c r="CY15" s="45"/>
      <c r="CZ15" s="45"/>
      <c r="DA15" s="45"/>
      <c r="DB15" s="45"/>
    </row>
    <row r="16" spans="1:106" ht="27.75" thickBot="1" thickTop="1">
      <c r="A16" s="60"/>
      <c r="B16" s="47"/>
      <c r="D16" s="48"/>
      <c r="E16" s="48"/>
      <c r="F16" s="48"/>
      <c r="G16" s="48"/>
      <c r="H16" s="48"/>
      <c r="I16" s="48"/>
      <c r="J16" s="48"/>
      <c r="L16" s="48"/>
      <c r="M16" s="48"/>
      <c r="N16" s="48"/>
      <c r="O16" s="48"/>
      <c r="Q16" s="48"/>
      <c r="R16" s="48"/>
      <c r="S16" s="48"/>
      <c r="T16" s="48"/>
      <c r="U16" s="48"/>
      <c r="V16" s="48"/>
      <c r="W16" s="48"/>
      <c r="X16" s="48"/>
      <c r="Y16" s="48"/>
      <c r="Z16" s="48">
        <v>1</v>
      </c>
      <c r="AA16" s="48"/>
      <c r="AB16" s="48"/>
      <c r="AC16" s="48"/>
      <c r="AD16" s="48"/>
      <c r="AE16" s="48"/>
      <c r="AF16" s="48">
        <v>2</v>
      </c>
      <c r="AG16" s="48"/>
      <c r="AH16" s="48"/>
      <c r="AI16" s="48"/>
      <c r="AJ16" s="48"/>
      <c r="AK16" s="48"/>
      <c r="AL16" s="48">
        <v>3</v>
      </c>
      <c r="AM16" s="48"/>
      <c r="AN16" s="48"/>
      <c r="AO16" s="48"/>
      <c r="AP16" s="48"/>
      <c r="AQ16" s="48"/>
      <c r="AR16" s="48">
        <v>4</v>
      </c>
      <c r="AS16" s="48"/>
      <c r="AT16" s="48"/>
      <c r="AU16" s="48"/>
      <c r="AV16" s="48"/>
      <c r="AW16" s="48"/>
      <c r="AX16" s="48">
        <v>5</v>
      </c>
      <c r="AY16" s="48"/>
      <c r="AZ16" s="48"/>
      <c r="BA16" s="48"/>
      <c r="BB16" s="48"/>
      <c r="BC16" s="48"/>
      <c r="BD16" s="48">
        <v>6</v>
      </c>
      <c r="BE16" s="48"/>
      <c r="BF16" s="48"/>
      <c r="BG16" s="48"/>
      <c r="BH16" s="48"/>
      <c r="BI16" s="48"/>
      <c r="BJ16" s="48">
        <v>7</v>
      </c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0"/>
      <c r="CX16" s="45"/>
      <c r="CY16" s="45"/>
      <c r="CZ16" s="45"/>
      <c r="DA16" s="45"/>
      <c r="DB16" s="45"/>
    </row>
    <row r="17" spans="1:106" ht="25.5" customHeight="1" thickBot="1">
      <c r="A17" s="51"/>
      <c r="B17" s="79"/>
      <c r="D17" s="80">
        <f>IF(IF(COUNTIF(D8:D14,1)=1,COUNTIF(D8:D14,1),0)+IF(COUNTIF(D8:D14,2)=1,COUNTIF(D8:D14,2),0)+IF(COUNTIF(D8:D14,3)=1,COUNTIF(D8:D14,3),0)+IF(COUNTIF(D8:D14,4)=1,COUNTIF(D8:D14,4),0)+IF(COUNTIF(D8:D14,5)=1,COUNTIF(D8:D14,5),0)+IF(COUNTIF(D8:D14,6)=1,COUNTIF(D8:D14,6),0)+IF(COUNTIF(D8:D14,7)=1,COUNTIF(D8:D14,7),0)=F20,"","!!!")</f>
      </c>
      <c r="E17" s="80">
        <f>IF(IF(COUNTIF(E8:E14,1)=1,COUNTIF(E8:E14,1),0)+IF(COUNTIF(E8:E14,2)=1,COUNTIF(E8:E14,2),0)+IF(COUNTIF(E8:E14,3)=1,COUNTIF(E8:E14,3),0)+IF(COUNTIF(E8:E14,4)=1,COUNTIF(E8:E14,4),0)+IF(COUNTIF(E8:E14,5)=1,COUNTIF(E8:E14,5),0)+IF(COUNTIF(E8:E14,6)=1,COUNTIF(E8:E14,6),0)+IF(COUNTIF(E8:E14,7)=1,COUNTIF(E8:E14,7),0)=F20,"","!!!")</f>
      </c>
      <c r="F17" s="80">
        <f>IF(IF(COUNTIF(F8:F14,1)=1,COUNTIF(F8:F14,1),0)+IF(COUNTIF(F8:F14,2)=1,COUNTIF(F8:F14,2),0)+IF(COUNTIF(F8:F14,3)=1,COUNTIF(F8:F14,3),0)+IF(COUNTIF(F8:F14,4)=1,COUNTIF(F8:F14,4),0)+IF(COUNTIF(F8:F14,5)=1,COUNTIF(F8:F14,5),0)+IF(COUNTIF(F8:F14,6)=1,COUNTIF(F8:F14,6),0)+IF(COUNTIF(F8:F14,7)=1,COUNTIF(F8:F14,7),0)=F20,"","!!!")</f>
      </c>
      <c r="G17" s="80">
        <f>IF(IF(COUNTIF(G8:G14,1)=1,COUNTIF(G8:G14,1),0)+IF(COUNTIF(G8:G14,2)=1,COUNTIF(G8:G14,2),0)+IF(COUNTIF(G8:G14,3)=1,COUNTIF(G8:G14,3),0)+IF(COUNTIF(G8:G14,4)=1,COUNTIF(G8:G14,4),0)+IF(COUNTIF(G8:G14,5)=1,COUNTIF(G8:G14,5),0)+IF(COUNTIF(G8:G14,6)=1,COUNTIF(G8:G14,6),0)+IF(COUNTIF(G8:G14,7)=1,COUNTIF(G8:G14,7),0)=F20,"","!!!")</f>
      </c>
      <c r="H17" s="80">
        <f>IF(IF(COUNTIF(H8:H14,1)=1,COUNTIF(H8:H14,1),0)+IF(COUNTIF(H8:H14,2)=1,COUNTIF(H8:H14,2),0)+IF(COUNTIF(H8:H14,3)=1,COUNTIF(H8:H14,3),0)+IF(COUNTIF(H8:H14,4)=1,COUNTIF(H8:H14,4),0)+IF(COUNTIF(H8:H14,5)=1,COUNTIF(H8:H14,5),0)+IF(COUNTIF(H8:H14,6)=1,COUNTIF(H8:H14,6),0)+IF(COUNTIF(H8:H14,7)=1,COUNTIF(H8:H14,7),0)=F20,"","!!!")</f>
      </c>
      <c r="I17" s="80" t="str">
        <f>IF(IF(COUNTIF(I8:I14,1)=1,COUNTIF(I8:I14,1),0)+IF(COUNTIF(I8:I14,2)=1,COUNTIF(I8:I14,2),0)+IF(COUNTIF(I8:I14,3)=1,COUNTIF(I8:I14,3),0)+IF(COUNTIF(I8:I14,4)=1,COUNTIF(I8:I14,4),0)+IF(COUNTIF(I8:I14,5)=1,COUNTIF(I8:I14,5),0)+IF(COUNTIF(I8:I14,6)=1,COUNTIF(I8:I14,6),0)+IF(COUNTIF(I8:I14,7)=1,COUNTIF(I8:I14,7),0)=F20,"","!!!")</f>
        <v>!!!</v>
      </c>
      <c r="J17" s="80" t="str">
        <f>IF(IF(COUNTIF(J8:J14,1)=1,COUNTIF(J8:J14,1),0)+IF(COUNTIF(J8:J14,2)=1,COUNTIF(J8:J14,2),0)+IF(COUNTIF(J8:J14,3)=1,COUNTIF(J8:J14,3),0)+IF(COUNTIF(J8:J14,4)=1,COUNTIF(J8:J14,4),0)+IF(COUNTIF(J8:J14,5)=1,COUNTIF(J8:J14,5),0)+IF(COUNTIF(J8:J14,6)=1,COUNTIF(J8:J14,6),0)+IF(COUNTIF(J8:J14,7)=1,COUNTIF(J8:J14,7),0)=F20,"","!!!")</f>
        <v>!!!</v>
      </c>
      <c r="L17" s="48"/>
      <c r="M17" s="320" t="s">
        <v>43</v>
      </c>
      <c r="N17" s="320"/>
      <c r="O17" s="48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255"/>
      <c r="AL17" s="255"/>
      <c r="AM17" s="255"/>
      <c r="AN17" s="255"/>
      <c r="AO17" s="255"/>
      <c r="AP17" s="255"/>
      <c r="AQ17" s="255"/>
      <c r="AR17" s="255"/>
      <c r="AS17" s="255"/>
      <c r="AT17" s="255"/>
      <c r="AU17" s="255"/>
      <c r="AV17" s="255"/>
      <c r="AW17" s="255"/>
      <c r="AX17" s="255"/>
      <c r="AY17" s="255"/>
      <c r="AZ17" s="255"/>
      <c r="BA17" s="255"/>
      <c r="BB17" s="255"/>
      <c r="BC17" s="255"/>
      <c r="BD17" s="255"/>
      <c r="BE17" s="255"/>
      <c r="BF17" s="255"/>
      <c r="BG17" s="255"/>
      <c r="BH17" s="255"/>
      <c r="BI17" s="255"/>
      <c r="BJ17" s="255"/>
      <c r="BK17" s="255"/>
      <c r="BL17" s="255"/>
      <c r="BM17" s="255"/>
      <c r="BN17" s="255"/>
      <c r="BO17" s="255"/>
      <c r="BP17" s="255"/>
      <c r="BQ17" s="255"/>
      <c r="BR17" s="255"/>
      <c r="BS17" s="255"/>
      <c r="BT17" s="255"/>
      <c r="BU17" s="255"/>
      <c r="BV17" s="255"/>
      <c r="BW17" s="255"/>
      <c r="BX17" s="255"/>
      <c r="BY17" s="255"/>
      <c r="BZ17" s="255"/>
      <c r="CA17" s="255"/>
      <c r="CB17" s="255"/>
      <c r="CC17" s="255"/>
      <c r="CD17" s="255"/>
      <c r="CE17" s="255"/>
      <c r="CF17" s="255"/>
      <c r="CG17" s="255"/>
      <c r="CH17" s="255"/>
      <c r="CI17" s="255"/>
      <c r="CJ17" s="255"/>
      <c r="CK17" s="255"/>
      <c r="CL17" s="255"/>
      <c r="CM17" s="255"/>
      <c r="CN17" s="255"/>
      <c r="CO17" s="255"/>
      <c r="CP17" s="48"/>
      <c r="CX17" s="45"/>
      <c r="CY17" s="45"/>
      <c r="CZ17" s="45"/>
      <c r="DA17" s="45"/>
      <c r="DB17" s="45"/>
    </row>
    <row r="18" spans="1:106" ht="25.5" customHeight="1" thickBot="1">
      <c r="A18" s="51"/>
      <c r="B18" s="79"/>
      <c r="D18" s="80">
        <f>IF(IF(F20=1,COUNTIF(D8:D14,"&gt;1"),IF(F20=2,COUNTIF(D8:D14,"&gt;2"),IF(F20=3,COUNTIF(D8:D14,"&gt;3"),IF(F20=4,COUNTIF(D8:D14,"&gt;4"),IF(F20=5,COUNTIF(D8:D14,"&gt;5"),IF(F20=6,COUNTIF(D8:D14,"&gt;6"),COUNTIF(D8:D14,"&gt;7")))))))=0,"","!!!")</f>
      </c>
      <c r="E18" s="80">
        <f>IF(IF(F20=1,COUNTIF(E8:E14,"&gt;1"),IF(F20=2,COUNTIF(E8:E14,"&gt;2"),IF(F20=3,COUNTIF(E8:E14,"&gt;3"),IF(F20=4,COUNTIF(E8:E14,"&gt;4"),IF(F20=5,COUNTIF(E8:E14,"&gt;5"),IF(F20=6,COUNTIF(E8:E14,"&gt;6"),COUNTIF(E8:E14,"&gt;7")))))))=0,"","!!!")</f>
      </c>
      <c r="F18" s="80">
        <f>IF(IF(F20=1,COUNTIF(F8:F14,"&gt;1"),IF(F20=2,COUNTIF(F8:F14,"&gt;2"),IF(F20=3,COUNTIF(F8:F14,"&gt;3"),IF(F20=4,COUNTIF(F8:F14,"&gt;4"),IF(F20=5,COUNTIF(F8:F14,"&gt;5"),IF(F20=6,COUNTIF(F8:F14,"&gt;6"),COUNTIF(F8:F14,"&gt;7")))))))=0,"","!!!")</f>
      </c>
      <c r="G18" s="80">
        <f>IF(IF(F20=1,COUNTIF(G8:G14,"&gt;1"),IF(F20=2,COUNTIF(G8:G14,"&gt;2"),IF(F20=3,COUNTIF(G8:G14,"&gt;3"),IF(F20=4,COUNTIF(G8:G14,"&gt;4"),IF(F20=5,COUNTIF(G8:G14,"&gt;5"),IF(F20=6,COUNTIF(G8:G14,"&gt;6"),COUNTIF(G8:G14,"&gt;7")))))))=0,"","!!!")</f>
      </c>
      <c r="H18" s="80">
        <f>IF(IF(F20=1,COUNTIF(H8:H14,"&gt;1"),IF(F20=2,COUNTIF(H8:H14,"&gt;2"),IF(F20=3,COUNTIF(H8:H14,"&gt;3"),IF(F20=4,COUNTIF(H8:H14,"&gt;4"),IF(F20=5,COUNTIF(H8:H14,"&gt;5"),IF(F20=6,COUNTIF(H8:H14,"&gt;6"),COUNTIF(H8:H14,"&gt;7")))))))=0,"","!!!")</f>
      </c>
      <c r="I18" s="80">
        <f>IF(IF(G20=1,COUNTIF(I8:I14,"&gt;1"),IF(G20=2,COUNTIF(I8:I14,"&gt;2"),IF(G20=3,COUNTIF(I8:I14,"&gt;3"),IF(G20=4,COUNTIF(I8:I14,"&gt;4"),IF(G20=5,COUNTIF(I8:I14,"&gt;5"),IF(G20=6,COUNTIF(I8:I14,"&gt;6"),COUNTIF(I8:I14,"&gt;7")))))))=0,"","!!!")</f>
      </c>
      <c r="J18" s="80">
        <f>IF(IF(H20=1,COUNTIF(J8:J14,"&gt;1"),IF(H20=2,COUNTIF(J8:J14,"&gt;2"),IF(H20=3,COUNTIF(J8:J14,"&gt;3"),IF(H20=4,COUNTIF(J8:J14,"&gt;4"),IF(H20=5,COUNTIF(J8:J14,"&gt;5"),IF(H20=6,COUNTIF(J8:J14,"&gt;6"),COUNTIF(J8:J14,"&gt;7")))))))=0,"","!!!")</f>
      </c>
      <c r="L18" s="48"/>
      <c r="M18" s="321" t="s">
        <v>43</v>
      </c>
      <c r="N18" s="321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0"/>
      <c r="CX18" s="45"/>
      <c r="CY18" s="45"/>
      <c r="CZ18" s="45"/>
      <c r="DA18" s="45"/>
      <c r="DB18" s="81"/>
    </row>
    <row r="19" spans="1:106" ht="12.75" customHeight="1">
      <c r="A19" s="60"/>
      <c r="B19" s="47"/>
      <c r="D19" s="48"/>
      <c r="E19" s="48"/>
      <c r="F19" s="48"/>
      <c r="G19" s="48"/>
      <c r="H19" s="48"/>
      <c r="I19" s="48"/>
      <c r="J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X19" s="45"/>
      <c r="CY19" s="45"/>
      <c r="CZ19" s="45"/>
      <c r="DA19" s="45"/>
      <c r="DB19" s="45"/>
    </row>
    <row r="20" spans="1:107" ht="18">
      <c r="A20" s="82" t="s">
        <v>44</v>
      </c>
      <c r="B20" s="83"/>
      <c r="C20" s="84"/>
      <c r="D20" s="85"/>
      <c r="E20" s="85"/>
      <c r="F20" s="86">
        <f>IF(B9=" ",1,IF(B10=" ",2,IF(B11=" ",3,IF(B12=" ",4,IF(B13="",5,IF(B14=" ",6,7))))))</f>
        <v>5</v>
      </c>
      <c r="G20" s="48"/>
      <c r="H20" s="48"/>
      <c r="I20" s="48"/>
      <c r="J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X20" s="45"/>
      <c r="CY20" s="45"/>
      <c r="CZ20" s="45"/>
      <c r="DA20" s="45"/>
      <c r="DB20" s="45"/>
      <c r="DC20" s="42"/>
    </row>
    <row r="21" spans="1:107" ht="18.75" customHeight="1">
      <c r="A21" s="51"/>
      <c r="B21" s="47"/>
      <c r="D21" s="48"/>
      <c r="E21" s="48"/>
      <c r="F21" s="48"/>
      <c r="G21" s="48"/>
      <c r="H21" s="48"/>
      <c r="I21" s="48"/>
      <c r="J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9"/>
      <c r="AC21" s="49"/>
      <c r="AD21" s="49"/>
      <c r="AE21" s="49"/>
      <c r="AF21" s="49"/>
      <c r="AG21" s="49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X21" s="322" t="str">
        <f>IF(Rajtlista!E1="Töltsd ki","Ne ezt töltsd ki",Rajtlista!E1)</f>
        <v>Boogie - Woogie</v>
      </c>
      <c r="CY21" s="323"/>
      <c r="CZ21" s="323"/>
      <c r="DA21" s="323"/>
      <c r="DB21" s="45"/>
      <c r="DC21" s="42"/>
    </row>
    <row r="22" spans="1:107" ht="24.75" customHeight="1">
      <c r="A22" s="87"/>
      <c r="B22" s="47"/>
      <c r="D22" s="47"/>
      <c r="CX22" s="324" t="s">
        <v>64</v>
      </c>
      <c r="CY22" s="325"/>
      <c r="CZ22" s="325"/>
      <c r="DA22" s="325"/>
      <c r="DB22" s="45"/>
      <c r="DC22" s="42"/>
    </row>
    <row r="23" spans="102:107" ht="15" customHeight="1">
      <c r="CX23" s="88"/>
      <c r="CY23" s="89"/>
      <c r="CZ23" s="89"/>
      <c r="DA23" s="89"/>
      <c r="DB23" s="45"/>
      <c r="DC23" s="42"/>
    </row>
    <row r="24" spans="102:107" ht="15" customHeight="1">
      <c r="CX24" s="90" t="s">
        <v>5</v>
      </c>
      <c r="CY24" s="90" t="s">
        <v>0</v>
      </c>
      <c r="CZ24" s="90" t="s">
        <v>1</v>
      </c>
      <c r="DA24" s="90" t="s">
        <v>42</v>
      </c>
      <c r="DB24" s="45"/>
      <c r="DC24" s="42"/>
    </row>
    <row r="25" spans="102:107" ht="15" customHeight="1" thickBot="1">
      <c r="CX25" s="91"/>
      <c r="CY25" s="91"/>
      <c r="CZ25" s="91"/>
      <c r="DA25" s="91"/>
      <c r="DB25" s="45"/>
      <c r="DC25" s="42"/>
    </row>
    <row r="26" spans="102:107" ht="15" customHeight="1" thickBot="1">
      <c r="CX26" s="92" t="s">
        <v>45</v>
      </c>
      <c r="CY26" s="93">
        <f>CY8</f>
        <v>3</v>
      </c>
      <c r="CZ26" s="94" t="str">
        <f>CZ8</f>
        <v>BUJÁKI János - Korda Julia</v>
      </c>
      <c r="DA26" s="95">
        <f>DA8</f>
        <v>0</v>
      </c>
      <c r="DB26" s="45"/>
      <c r="DC26" s="42"/>
    </row>
    <row r="27" spans="102:107" ht="15" customHeight="1" thickBot="1">
      <c r="CX27" s="96"/>
      <c r="CY27" s="97"/>
      <c r="CZ27" s="98"/>
      <c r="DA27" s="98"/>
      <c r="DB27" s="45"/>
      <c r="DC27" s="42"/>
    </row>
    <row r="28" spans="102:107" ht="15" customHeight="1" thickBot="1">
      <c r="CX28" s="92" t="s">
        <v>46</v>
      </c>
      <c r="CY28" s="93">
        <f>CY9</f>
        <v>10</v>
      </c>
      <c r="CZ28" s="94" t="str">
        <f>CZ9</f>
        <v>DÁNIEL Balázs - KELEMEN Patrícia</v>
      </c>
      <c r="DA28" s="95" t="str">
        <f>DA9</f>
        <v>Platina TSE, Győr</v>
      </c>
      <c r="DB28" s="45"/>
      <c r="DC28" s="42"/>
    </row>
    <row r="29" spans="102:107" ht="15" customHeight="1" thickBot="1">
      <c r="CX29" s="96"/>
      <c r="CY29" s="97"/>
      <c r="CZ29" s="98"/>
      <c r="DA29" s="98"/>
      <c r="DB29" s="45"/>
      <c r="DC29" s="42"/>
    </row>
    <row r="30" spans="102:107" ht="15" customHeight="1" thickBot="1">
      <c r="CX30" s="92" t="s">
        <v>47</v>
      </c>
      <c r="CY30" s="93">
        <f>CY10</f>
        <v>8</v>
      </c>
      <c r="CZ30" s="94" t="str">
        <f>CZ10</f>
        <v>PETŐ Gábor - PETŐ Adrienn</v>
      </c>
      <c r="DA30" s="95" t="str">
        <f>DA10</f>
        <v>RÓK And Roll, Bp</v>
      </c>
      <c r="DB30" s="45"/>
      <c r="DC30" s="42"/>
    </row>
    <row r="31" spans="102:107" ht="15" customHeight="1" thickBot="1">
      <c r="CX31" s="96"/>
      <c r="CY31" s="97"/>
      <c r="CZ31" s="98"/>
      <c r="DA31" s="98"/>
      <c r="DB31" s="45"/>
      <c r="DC31" s="42"/>
    </row>
    <row r="32" spans="102:107" ht="15" customHeight="1" thickBot="1">
      <c r="CX32" s="92" t="s">
        <v>48</v>
      </c>
      <c r="CY32" s="93">
        <f>CY11</f>
        <v>4</v>
      </c>
      <c r="CZ32" s="94" t="str">
        <f>CZ11</f>
        <v>SCHMIDT Gábor - SCHMIDT-VACHTLER Erzsébet</v>
      </c>
      <c r="DA32" s="95" t="str">
        <f>DA11</f>
        <v>DancEarth TSE, Bp</v>
      </c>
      <c r="DB32" s="45"/>
      <c r="DC32" s="42"/>
    </row>
    <row r="33" spans="102:107" ht="15" customHeight="1" thickBot="1">
      <c r="CX33" s="96"/>
      <c r="CY33" s="97"/>
      <c r="CZ33" s="98"/>
      <c r="DA33" s="98"/>
      <c r="DB33" s="45"/>
      <c r="DC33" s="42"/>
    </row>
    <row r="34" spans="102:107" ht="15" customHeight="1" thickBot="1">
      <c r="CX34" s="92" t="s">
        <v>49</v>
      </c>
      <c r="CY34" s="93">
        <f>CY12</f>
        <v>7</v>
      </c>
      <c r="CZ34" s="94" t="str">
        <f>CZ12</f>
        <v>CSERÉP János - VIRÁG Éva</v>
      </c>
      <c r="DA34" s="95" t="str">
        <f>DA12</f>
        <v>DancEarth TSE, Bp</v>
      </c>
      <c r="DB34" s="45"/>
      <c r="DC34" s="42"/>
    </row>
    <row r="35" spans="102:107" ht="15" customHeight="1" thickBot="1">
      <c r="CX35" s="96"/>
      <c r="CY35" s="97"/>
      <c r="CZ35" s="98"/>
      <c r="DA35" s="98"/>
      <c r="DB35" s="45"/>
      <c r="DC35" s="42"/>
    </row>
    <row r="36" spans="102:107" ht="15" customHeight="1" thickBot="1">
      <c r="CX36" s="92" t="s">
        <v>50</v>
      </c>
      <c r="CY36" s="93">
        <f>CY13</f>
      </c>
      <c r="CZ36" s="94">
        <f>CZ13</f>
      </c>
      <c r="DA36" s="95">
        <f>DA13</f>
      </c>
      <c r="DB36" s="45"/>
      <c r="DC36" s="42"/>
    </row>
    <row r="37" spans="102:107" ht="15" customHeight="1" thickBot="1">
      <c r="CX37" s="96"/>
      <c r="CY37" s="97"/>
      <c r="CZ37" s="98"/>
      <c r="DA37" s="98"/>
      <c r="DB37" s="45"/>
      <c r="DC37" s="42"/>
    </row>
    <row r="38" spans="102:107" ht="15" customHeight="1" thickBot="1">
      <c r="CX38" s="92" t="s">
        <v>51</v>
      </c>
      <c r="CY38" s="93" t="str">
        <f>CY14</f>
        <v> </v>
      </c>
      <c r="CZ38" s="94">
        <f>CZ14</f>
      </c>
      <c r="DA38" s="95">
        <f>DA14</f>
      </c>
      <c r="DB38" s="45"/>
      <c r="DC38" s="42"/>
    </row>
    <row r="39" spans="102:106" ht="15" customHeight="1">
      <c r="CX39" s="81"/>
      <c r="CY39" s="99"/>
      <c r="CZ39" s="100"/>
      <c r="DA39" s="100"/>
      <c r="DB39" s="45"/>
    </row>
    <row r="40" spans="102:106" ht="12.75">
      <c r="CX40" s="45"/>
      <c r="CY40" s="45"/>
      <c r="CZ40" s="45"/>
      <c r="DA40" s="45"/>
      <c r="DB40" s="45"/>
    </row>
    <row r="41" spans="102:105" ht="12.75">
      <c r="CX41" s="45"/>
      <c r="CY41" s="45"/>
      <c r="CZ41" s="45"/>
      <c r="DA41" s="45"/>
    </row>
    <row r="42" spans="102:105" ht="12.75">
      <c r="CX42" s="45"/>
      <c r="CY42" s="45"/>
      <c r="CZ42" s="81"/>
      <c r="DA42" s="45"/>
    </row>
    <row r="43" spans="102:105" ht="12.75">
      <c r="CX43" s="45"/>
      <c r="CY43" s="45"/>
      <c r="CZ43" s="45"/>
      <c r="DA43" s="45"/>
    </row>
    <row r="44" spans="102:105" ht="12.75">
      <c r="CX44" s="45"/>
      <c r="CY44" s="45"/>
      <c r="CZ44" s="45"/>
      <c r="DA44" s="45"/>
    </row>
    <row r="45" spans="102:105" ht="12.75">
      <c r="CX45" s="45"/>
      <c r="CY45" s="45"/>
      <c r="CZ45" s="45"/>
      <c r="DA45" s="45"/>
    </row>
  </sheetData>
  <sheetProtection/>
  <mergeCells count="4">
    <mergeCell ref="M17:N17"/>
    <mergeCell ref="M18:N18"/>
    <mergeCell ref="CX21:DA21"/>
    <mergeCell ref="CX22:DA22"/>
  </mergeCells>
  <conditionalFormatting sqref="D17:J18">
    <cfRule type="cellIs" priority="1" dxfId="0" operator="equal" stopIfTrue="1">
      <formula>"!!!"</formula>
    </cfRule>
  </conditionalFormatting>
  <conditionalFormatting sqref="CM8:CM14">
    <cfRule type="cellIs" priority="2" dxfId="7" operator="equal" stopIfTrue="1">
      <formula>"!!!"</formula>
    </cfRule>
  </conditionalFormatting>
  <conditionalFormatting sqref="CX8:CX14">
    <cfRule type="cellIs" priority="3" dxfId="1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1"/>
  <dimension ref="A1:X41"/>
  <sheetViews>
    <sheetView zoomScalePageLayoutView="0" workbookViewId="0" topLeftCell="A1">
      <selection activeCell="M7" sqref="M7:O7"/>
    </sheetView>
  </sheetViews>
  <sheetFormatPr defaultColWidth="9.140625" defaultRowHeight="12.75"/>
  <cols>
    <col min="1" max="1" width="17.00390625" style="0" bestFit="1" customWidth="1"/>
    <col min="11" max="11" width="9.00390625" style="0" customWidth="1"/>
    <col min="12" max="12" width="9.140625" style="0" hidden="1" customWidth="1"/>
    <col min="13" max="13" width="5.28125" style="0" hidden="1" customWidth="1"/>
    <col min="14" max="14" width="10.00390625" style="0" hidden="1" customWidth="1"/>
    <col min="15" max="15" width="2.00390625" style="0" hidden="1" customWidth="1"/>
    <col min="16" max="16" width="5.140625" style="0" customWidth="1"/>
    <col min="17" max="17" width="13.8515625" style="0" customWidth="1"/>
    <col min="18" max="18" width="9.140625" style="0" hidden="1" customWidth="1"/>
  </cols>
  <sheetData>
    <row r="1" spans="1:24" ht="38.25" customHeight="1" thickBot="1">
      <c r="A1" s="264"/>
      <c r="B1" s="265" t="s">
        <v>82</v>
      </c>
      <c r="C1" s="266"/>
      <c r="D1" s="267"/>
      <c r="E1" s="267"/>
      <c r="F1" s="267"/>
      <c r="G1" s="267"/>
      <c r="H1" s="268"/>
      <c r="I1" s="44"/>
      <c r="J1" s="44"/>
      <c r="K1" s="246" t="s">
        <v>88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1.25" customHeight="1" thickBo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 t="s">
        <v>41</v>
      </c>
      <c r="M2" s="44" t="s">
        <v>65</v>
      </c>
      <c r="N2" s="44" t="s">
        <v>66</v>
      </c>
      <c r="O2" s="44" t="s">
        <v>67</v>
      </c>
      <c r="P2" s="44"/>
      <c r="Q2" s="44"/>
      <c r="R2" s="44"/>
      <c r="S2" s="44"/>
      <c r="T2" s="44"/>
      <c r="U2" s="44"/>
      <c r="V2" s="44"/>
      <c r="W2" s="44"/>
      <c r="X2" s="44"/>
    </row>
    <row r="3" spans="1:24" ht="27" customHeight="1" thickBot="1">
      <c r="A3" s="116" t="s">
        <v>0</v>
      </c>
      <c r="B3" s="117">
        <f>Dont_rajtl!B4</f>
        <v>3</v>
      </c>
      <c r="C3" s="117">
        <f>Dont_rajtl!B6</f>
        <v>10</v>
      </c>
      <c r="D3" s="117">
        <f>Dont_rajtl!B8</f>
        <v>8</v>
      </c>
      <c r="E3" s="117">
        <f>Dont_rajtl!B10</f>
        <v>4</v>
      </c>
      <c r="F3" s="117">
        <f>Dont_rajtl!B12</f>
        <v>7</v>
      </c>
      <c r="G3" s="117">
        <f>Dont_rajtl!B14</f>
      </c>
      <c r="H3" s="117">
        <f>IF(Dont_rajtl!B16=" ","",Dont_rajtl!B16)</f>
      </c>
      <c r="I3" s="44"/>
      <c r="J3" s="44"/>
      <c r="K3" s="44"/>
      <c r="L3" s="44">
        <f>B8</f>
        <v>4</v>
      </c>
      <c r="M3" s="44">
        <f>B3</f>
        <v>3</v>
      </c>
      <c r="N3" s="44" t="str">
        <f>Dont_rajtl!C4</f>
        <v>BUJÁKI János - Korda Julia</v>
      </c>
      <c r="O3" s="44">
        <f>Dont_rajtl!D4</f>
        <v>0</v>
      </c>
      <c r="P3" s="44"/>
      <c r="Q3" s="44"/>
      <c r="R3" s="44" t="e">
        <f>COUNTIF(#REF!,#REF!)</f>
        <v>#REF!</v>
      </c>
      <c r="S3" s="44"/>
      <c r="T3" s="44"/>
      <c r="U3" s="44"/>
      <c r="V3" s="44"/>
      <c r="W3" s="44"/>
      <c r="X3" s="44"/>
    </row>
    <row r="4" spans="1:24" ht="19.5" customHeight="1" thickBot="1">
      <c r="A4" s="104" t="s">
        <v>57</v>
      </c>
      <c r="B4" s="102">
        <f>Lassu_skating!CK8</f>
        <v>4</v>
      </c>
      <c r="C4" s="102">
        <f>Lassu_skating!CK9</f>
        <v>5</v>
      </c>
      <c r="D4" s="102">
        <f>Lassu_skating!CK10</f>
        <v>3</v>
      </c>
      <c r="E4" s="102">
        <f>Lassu_skating!CK11</f>
        <v>2</v>
      </c>
      <c r="F4" s="102">
        <f>Lassu_skating!CK12</f>
        <v>1</v>
      </c>
      <c r="G4" s="102">
        <f>Lassu_skating!CK13</f>
      </c>
      <c r="H4" s="102">
        <f>IF(H3="","",Lassu_skating!CK14)</f>
      </c>
      <c r="I4" s="44"/>
      <c r="J4" s="44"/>
      <c r="K4" s="44"/>
      <c r="L4" s="44">
        <f>C8</f>
        <v>5</v>
      </c>
      <c r="M4" s="44">
        <f>C3</f>
        <v>10</v>
      </c>
      <c r="N4" s="44" t="str">
        <f>Dont_rajtl!C6</f>
        <v>DÁNIEL Balázs - KELEMEN Patrícia</v>
      </c>
      <c r="O4" s="44" t="str">
        <f>Dont_rajtl!D6</f>
        <v>Platina TSE, Győr</v>
      </c>
      <c r="P4" s="44"/>
      <c r="Q4" s="44"/>
      <c r="R4" s="44" t="e">
        <f>COUNTIF(#REF!,#REF!)</f>
        <v>#REF!</v>
      </c>
      <c r="S4" s="44"/>
      <c r="T4" s="44"/>
      <c r="U4" s="44"/>
      <c r="V4" s="44"/>
      <c r="W4" s="44"/>
      <c r="X4" s="44"/>
    </row>
    <row r="5" spans="1:24" ht="18.75" thickBot="1">
      <c r="A5" s="104" t="s">
        <v>58</v>
      </c>
      <c r="B5" s="102">
        <f>Gyors_skating!CK8</f>
        <v>4</v>
      </c>
      <c r="C5" s="102">
        <f>Gyors_skating!CK9</f>
        <v>5</v>
      </c>
      <c r="D5" s="102">
        <f>Gyors_skating!CK10</f>
        <v>1</v>
      </c>
      <c r="E5" s="102">
        <f>Gyors_skating!CK11</f>
        <v>2</v>
      </c>
      <c r="F5" s="102">
        <f>Gyors_skating!CK12</f>
        <v>3</v>
      </c>
      <c r="G5" s="102">
        <f>Gyors_skating!CK13</f>
      </c>
      <c r="H5" s="102">
        <f>IF(H3="","",Gyors_skating!CK14)</f>
      </c>
      <c r="I5" s="44"/>
      <c r="J5" s="44"/>
      <c r="K5" s="44"/>
      <c r="L5" s="44">
        <f>D8</f>
        <v>2</v>
      </c>
      <c r="M5" s="44">
        <f>D3</f>
        <v>8</v>
      </c>
      <c r="N5" s="44" t="str">
        <f>Dont_rajtl!C8</f>
        <v>PETŐ Gábor - PETŐ Adrienn</v>
      </c>
      <c r="O5" s="44" t="str">
        <f>Dont_rajtl!D8</f>
        <v>RÓK And Roll, Bp</v>
      </c>
      <c r="P5" s="44"/>
      <c r="Q5" s="44"/>
      <c r="R5" s="44" t="e">
        <f>COUNTIF(#REF!,#REF!)</f>
        <v>#REF!</v>
      </c>
      <c r="S5" s="44"/>
      <c r="T5" s="44"/>
      <c r="U5" s="44"/>
      <c r="V5" s="44"/>
      <c r="W5" s="44"/>
      <c r="X5" s="44"/>
    </row>
    <row r="6" spans="1:24" ht="18.75" thickBot="1">
      <c r="A6" s="103" t="s">
        <v>59</v>
      </c>
      <c r="B6" s="102">
        <f>IF(B3=0,"",ABS(B4-B5))</f>
        <v>0</v>
      </c>
      <c r="C6" s="102">
        <f>IF(C3=0,"",ABS(C4-C5))</f>
        <v>0</v>
      </c>
      <c r="D6" s="102">
        <f>IF(D3=0,"",ABS(D4-D5))</f>
        <v>2</v>
      </c>
      <c r="E6" s="102">
        <f>IF(E3=0,"",ABS(E4-E5))</f>
        <v>0</v>
      </c>
      <c r="F6" s="102">
        <f>IF(F3=0,"",ABS(F4-F5))</f>
        <v>2</v>
      </c>
      <c r="G6" s="102">
        <f>IF(G3="","",ABS(G4-G5))</f>
      </c>
      <c r="H6" s="102">
        <f>IF(H3="","",ABS(H4-H5))</f>
      </c>
      <c r="I6" s="44"/>
      <c r="J6" s="44"/>
      <c r="K6" s="44"/>
      <c r="L6" s="44">
        <f>E8</f>
        <v>1</v>
      </c>
      <c r="M6" s="44">
        <f>E3</f>
        <v>4</v>
      </c>
      <c r="N6" s="44" t="str">
        <f>Dont_rajtl!C10</f>
        <v>SCHMIDT Gábor - SCHMIDT-VACHTLER Erzsébet</v>
      </c>
      <c r="O6" s="44" t="str">
        <f>Dont_rajtl!D10</f>
        <v>DancEarth TSE, Bp</v>
      </c>
      <c r="P6" s="44"/>
      <c r="Q6" s="44"/>
      <c r="R6" s="44" t="e">
        <f>COUNTIF(#REF!,#REF!)</f>
        <v>#REF!</v>
      </c>
      <c r="S6" s="44"/>
      <c r="T6" s="44"/>
      <c r="U6" s="44"/>
      <c r="V6" s="44"/>
      <c r="W6" s="44"/>
      <c r="X6" s="44"/>
    </row>
    <row r="7" spans="1:24" ht="18.75" thickBot="1">
      <c r="A7" s="104" t="s">
        <v>60</v>
      </c>
      <c r="B7" s="102">
        <f>IF(B3=0,"",SUM(B4:B5))</f>
        <v>8</v>
      </c>
      <c r="C7" s="102">
        <f>IF(C3=0,"",SUM(C4:C5))</f>
        <v>10</v>
      </c>
      <c r="D7" s="102">
        <f>IF(D3=0,"",SUM(D4:D5))</f>
        <v>4</v>
      </c>
      <c r="E7" s="102">
        <f>IF(E3=0,"",SUM(E4:E5))</f>
        <v>4</v>
      </c>
      <c r="F7" s="102">
        <f>IF(F3=0,"",SUM(F4:F5))</f>
        <v>4</v>
      </c>
      <c r="G7" s="102">
        <f>IF(G3="","",SUM(G4:G5))</f>
      </c>
      <c r="H7" s="102">
        <f>IF(H3="","",SUM(H4:H5))</f>
      </c>
      <c r="I7" s="44"/>
      <c r="J7" s="44"/>
      <c r="K7" s="44"/>
      <c r="L7" s="44">
        <f>F8</f>
        <v>3</v>
      </c>
      <c r="M7" s="44">
        <f>F3</f>
        <v>7</v>
      </c>
      <c r="N7" s="44" t="str">
        <f>Dont_rajtl!C12</f>
        <v>CSERÉP János - VIRÁG Éva</v>
      </c>
      <c r="O7" s="44" t="str">
        <f>Dont_rajtl!D12</f>
        <v>DancEarth TSE, Bp</v>
      </c>
      <c r="P7" s="44"/>
      <c r="Q7" s="44"/>
      <c r="R7" s="44" t="e">
        <f>COUNTIF(#REF!,#REF!)</f>
        <v>#REF!</v>
      </c>
      <c r="S7" s="44"/>
      <c r="T7" s="44"/>
      <c r="U7" s="44"/>
      <c r="V7" s="44"/>
      <c r="W7" s="44"/>
      <c r="X7" s="44"/>
    </row>
    <row r="8" spans="1:24" ht="29.25" customHeight="1" thickBot="1">
      <c r="A8" s="114" t="s">
        <v>53</v>
      </c>
      <c r="B8" s="115">
        <v>4</v>
      </c>
      <c r="C8" s="115">
        <v>5</v>
      </c>
      <c r="D8" s="115">
        <v>2</v>
      </c>
      <c r="E8" s="115">
        <v>1</v>
      </c>
      <c r="F8" s="115">
        <v>3</v>
      </c>
      <c r="G8" s="115"/>
      <c r="H8" s="115"/>
      <c r="I8" s="44"/>
      <c r="J8" s="44"/>
      <c r="K8" s="44"/>
      <c r="L8" s="44">
        <f>G8</f>
        <v>0</v>
      </c>
      <c r="M8" s="44">
        <f>G3</f>
      </c>
      <c r="N8" s="44">
        <f>Dont_rajtl!C14</f>
      </c>
      <c r="O8" s="44">
        <f>Dont_rajtl!D14</f>
      </c>
      <c r="P8" s="44"/>
      <c r="Q8" s="44"/>
      <c r="R8" s="44" t="e">
        <f>COUNTIF(#REF!,#REF!)</f>
        <v>#REF!</v>
      </c>
      <c r="S8" s="44"/>
      <c r="T8" s="44"/>
      <c r="U8" s="44"/>
      <c r="V8" s="44"/>
      <c r="W8" s="44"/>
      <c r="X8" s="44"/>
    </row>
    <row r="9" spans="1:24" ht="15" customHeight="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245">
        <f>IF(Dont_rajtl!B16="","",H8)</f>
        <v>0</v>
      </c>
      <c r="M9" s="245">
        <f>IF(Dont_rajtl!B16="","",H3)</f>
      </c>
      <c r="N9" s="245">
        <f>IF(Dont_rajtl!C16="","",Dont_rajtl!C16)</f>
      </c>
      <c r="O9" s="245">
        <f>IF(Dont_rajtl!D16="","",Dont_rajtl!D16)</f>
      </c>
      <c r="P9" s="44"/>
      <c r="Q9" s="44"/>
      <c r="R9" s="44" t="e">
        <f>IF(M9=0,0,COUNTIF(#REF!,#REF!))</f>
        <v>#REF!</v>
      </c>
      <c r="S9" s="44"/>
      <c r="T9" s="44"/>
      <c r="U9" s="44"/>
      <c r="V9" s="44"/>
      <c r="W9" s="44"/>
      <c r="X9" s="44"/>
    </row>
    <row r="10" spans="1:24" ht="14.25" customHeight="1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</row>
    <row r="11" spans="1:24" ht="12.75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</row>
    <row r="12" spans="1:24" ht="0.75" customHeight="1">
      <c r="A12" s="44"/>
      <c r="B12" s="44">
        <f aca="true" t="shared" si="0" ref="B12:G12">B5+7*B6+42*B7</f>
        <v>340</v>
      </c>
      <c r="C12" s="44">
        <f t="shared" si="0"/>
        <v>425</v>
      </c>
      <c r="D12" s="44">
        <f t="shared" si="0"/>
        <v>183</v>
      </c>
      <c r="E12" s="44">
        <f t="shared" si="0"/>
        <v>170</v>
      </c>
      <c r="F12" s="44">
        <f t="shared" si="0"/>
        <v>185</v>
      </c>
      <c r="G12" s="44" t="e">
        <f t="shared" si="0"/>
        <v>#VALUE!</v>
      </c>
      <c r="H12" s="44">
        <f>IF(H3="","",H5+7*H6+42*H7)</f>
      </c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</row>
    <row r="13" spans="1:24" ht="12.7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1:24" ht="12.75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</row>
    <row r="15" spans="1:24" ht="12.75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2.75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2.75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2.75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2.75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2.75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2"/>
  <dimension ref="A1:V104"/>
  <sheetViews>
    <sheetView tabSelected="1" zoomScale="110" zoomScaleNormal="110" zoomScalePageLayoutView="0" workbookViewId="0" topLeftCell="A1">
      <selection activeCell="A1" sqref="A1:E1"/>
    </sheetView>
  </sheetViews>
  <sheetFormatPr defaultColWidth="9.140625" defaultRowHeight="12.75"/>
  <cols>
    <col min="1" max="1" width="11.8515625" style="20" bestFit="1" customWidth="1"/>
    <col min="2" max="2" width="12.421875" style="20" customWidth="1"/>
    <col min="3" max="3" width="61.7109375" style="20" bestFit="1" customWidth="1"/>
    <col min="4" max="4" width="31.57421875" style="24" customWidth="1"/>
    <col min="5" max="5" width="8.421875" style="24" customWidth="1"/>
    <col min="6" max="6" width="7.421875" style="20" customWidth="1"/>
    <col min="7" max="7" width="8.28125" style="20" customWidth="1"/>
    <col min="8" max="13" width="8.28125" style="24" hidden="1" customWidth="1"/>
    <col min="14" max="15" width="8.28125" style="20" hidden="1" customWidth="1"/>
    <col min="16" max="16" width="8.28125" style="24" hidden="1" customWidth="1"/>
    <col min="17" max="17" width="8.28125" style="20" hidden="1" customWidth="1"/>
    <col min="18" max="18" width="8.28125" style="20" customWidth="1"/>
    <col min="19" max="16384" width="9.140625" style="20" customWidth="1"/>
  </cols>
  <sheetData>
    <row r="1" spans="1:22" ht="51.75">
      <c r="A1" s="326" t="str">
        <f>IF(Rajtlista!E1="Töltsd ki","Ne ezt töltsd ki",Rajtlista!E1)</f>
        <v>Boogie - Woogie</v>
      </c>
      <c r="B1" s="327"/>
      <c r="C1" s="327"/>
      <c r="D1" s="327"/>
      <c r="E1" s="328"/>
      <c r="F1" s="247"/>
      <c r="G1" s="240" t="s">
        <v>88</v>
      </c>
      <c r="H1" s="112"/>
      <c r="I1" s="248"/>
      <c r="J1" s="249"/>
      <c r="K1" s="249"/>
      <c r="L1" s="112"/>
      <c r="M1" s="112"/>
      <c r="N1" s="111"/>
      <c r="O1" s="111"/>
      <c r="P1" s="112"/>
      <c r="Q1" s="111"/>
      <c r="R1" s="111"/>
      <c r="S1" s="111"/>
      <c r="T1" s="111"/>
      <c r="U1" s="111"/>
      <c r="V1" s="111"/>
    </row>
    <row r="2" spans="1:22" ht="42.75" thickBot="1">
      <c r="A2" s="329" t="s">
        <v>52</v>
      </c>
      <c r="B2" s="330"/>
      <c r="C2" s="330"/>
      <c r="D2" s="330"/>
      <c r="E2" s="331"/>
      <c r="F2" s="111"/>
      <c r="G2" s="111"/>
      <c r="H2" s="112"/>
      <c r="I2" s="250"/>
      <c r="J2" s="249"/>
      <c r="K2" s="249"/>
      <c r="L2" s="112"/>
      <c r="M2" s="112"/>
      <c r="N2" s="111"/>
      <c r="O2" s="111"/>
      <c r="P2" s="112"/>
      <c r="Q2" s="111"/>
      <c r="R2" s="111"/>
      <c r="S2" s="111"/>
      <c r="T2" s="111"/>
      <c r="U2" s="111"/>
      <c r="V2" s="111"/>
    </row>
    <row r="3" spans="1:22" ht="16.5" thickBot="1">
      <c r="A3" s="164">
        <f ca="1">NOW()</f>
        <v>42105.80206805556</v>
      </c>
      <c r="B3" s="112"/>
      <c r="C3" s="111"/>
      <c r="D3" s="111"/>
      <c r="E3" s="112"/>
      <c r="F3" s="111"/>
      <c r="G3" s="111"/>
      <c r="H3" s="112"/>
      <c r="I3" s="112"/>
      <c r="J3" s="112"/>
      <c r="K3" s="112"/>
      <c r="L3" s="112"/>
      <c r="M3" s="112"/>
      <c r="N3" s="111"/>
      <c r="O3" s="111"/>
      <c r="P3" s="112"/>
      <c r="Q3" s="111"/>
      <c r="R3" s="111"/>
      <c r="S3" s="111"/>
      <c r="T3" s="111"/>
      <c r="U3" s="111"/>
      <c r="V3" s="111"/>
    </row>
    <row r="4" spans="1:22" s="3" customFormat="1" ht="23.25" customHeight="1" thickBot="1">
      <c r="A4" s="306" t="s">
        <v>53</v>
      </c>
      <c r="B4" s="307" t="s">
        <v>0</v>
      </c>
      <c r="C4" s="306" t="s">
        <v>1</v>
      </c>
      <c r="D4" s="306" t="s">
        <v>42</v>
      </c>
      <c r="E4" s="308" t="s">
        <v>54</v>
      </c>
      <c r="F4" s="206"/>
      <c r="G4" s="206"/>
      <c r="H4" s="319">
        <f>Kd_tov!N2+Kd_r_tov!N2</f>
        <v>0</v>
      </c>
      <c r="I4" s="251" t="s">
        <v>53</v>
      </c>
      <c r="J4" s="252" t="s">
        <v>74</v>
      </c>
      <c r="K4" s="44" t="s">
        <v>75</v>
      </c>
      <c r="L4" s="44" t="s">
        <v>76</v>
      </c>
      <c r="M4" s="44" t="s">
        <v>77</v>
      </c>
      <c r="N4" s="44" t="s">
        <v>78</v>
      </c>
      <c r="O4" s="44" t="s">
        <v>79</v>
      </c>
      <c r="P4" s="44" t="s">
        <v>80</v>
      </c>
      <c r="Q4" s="44" t="s">
        <v>81</v>
      </c>
      <c r="R4" s="206"/>
      <c r="S4" s="206"/>
      <c r="T4" s="206"/>
      <c r="U4" s="206"/>
      <c r="V4" s="206"/>
    </row>
    <row r="5" spans="1:22" ht="18.75" customHeight="1">
      <c r="A5" s="309">
        <f>IF(Rajtlista!D4="","",1)</f>
        <v>1</v>
      </c>
      <c r="B5" s="310">
        <v>4</v>
      </c>
      <c r="C5" s="311" t="s">
        <v>101</v>
      </c>
      <c r="D5" s="311" t="s">
        <v>103</v>
      </c>
      <c r="E5" s="312">
        <v>73</v>
      </c>
      <c r="F5" s="228"/>
      <c r="G5" s="228"/>
      <c r="H5" s="112">
        <f>Rajtlista!F2</f>
        <v>5</v>
      </c>
      <c r="I5" s="249">
        <f>A5</f>
        <v>1</v>
      </c>
      <c r="J5" s="249">
        <f>IF(I5="","",K5+L5+M5+N5+O5+P5+Q5)</f>
        <v>74</v>
      </c>
      <c r="K5" s="249">
        <f>IF(I5="","",(H5-I5))</f>
        <v>4</v>
      </c>
      <c r="L5" s="249">
        <f>IF(I5="","",IF(I5&lt;=H6,5,))</f>
        <v>0</v>
      </c>
      <c r="M5" s="249">
        <f>IF(AND(I5&gt;H8,I5&lt;16),30,0)</f>
        <v>0</v>
      </c>
      <c r="N5" s="249">
        <f>IF(AND(I5&lt;=H8,I5&gt;3),45,0)</f>
        <v>0</v>
      </c>
      <c r="O5" s="249">
        <f>IF(I5=1,70,)</f>
        <v>70</v>
      </c>
      <c r="P5" s="249">
        <f>IF(I5=2,60,)</f>
        <v>0</v>
      </c>
      <c r="Q5" s="249">
        <f>IF(I5=3,50,)</f>
        <v>0</v>
      </c>
      <c r="R5" s="111"/>
      <c r="S5" s="111"/>
      <c r="T5" s="111"/>
      <c r="U5" s="111"/>
      <c r="V5" s="111"/>
    </row>
    <row r="6" spans="1:22" ht="18.75" customHeight="1">
      <c r="A6" s="313">
        <f>IF(Rajtlista!D5="","",2)</f>
        <v>2</v>
      </c>
      <c r="B6" s="314">
        <v>8</v>
      </c>
      <c r="C6" s="315" t="s">
        <v>102</v>
      </c>
      <c r="D6" s="315" t="s">
        <v>105</v>
      </c>
      <c r="E6" s="312">
        <v>62</v>
      </c>
      <c r="F6" s="228"/>
      <c r="G6" s="228"/>
      <c r="H6" s="112">
        <v>0</v>
      </c>
      <c r="I6" s="249">
        <f aca="true" t="shared" si="0" ref="I6:I50">A6</f>
        <v>2</v>
      </c>
      <c r="J6" s="249">
        <f aca="true" t="shared" si="1" ref="J6:J29">IF(I6="","",K6+L6+M6+N6+O6+P6+Q6)</f>
        <v>63</v>
      </c>
      <c r="K6" s="249">
        <f>IF(I6="","",(H5-I6))</f>
        <v>3</v>
      </c>
      <c r="L6" s="249">
        <f>IF(I6="","",IF(I6&lt;=H6,5,))</f>
        <v>0</v>
      </c>
      <c r="M6" s="249">
        <f>IF(AND(I6&gt;H8,I6&lt;16),30,0)</f>
        <v>0</v>
      </c>
      <c r="N6" s="249">
        <f>IF(AND(I6&lt;=H8,I6&gt;3),45,0)</f>
        <v>0</v>
      </c>
      <c r="O6" s="249">
        <f aca="true" t="shared" si="2" ref="O6:O29">IF(I6=1,70,)</f>
        <v>0</v>
      </c>
      <c r="P6" s="249">
        <f aca="true" t="shared" si="3" ref="P6:P29">IF(I6=2,60,)</f>
        <v>60</v>
      </c>
      <c r="Q6" s="249">
        <f aca="true" t="shared" si="4" ref="Q6:Q29">IF(I6=3,50,)</f>
        <v>0</v>
      </c>
      <c r="R6" s="111"/>
      <c r="S6" s="111"/>
      <c r="T6" s="111"/>
      <c r="U6" s="111"/>
      <c r="V6" s="111"/>
    </row>
    <row r="7" spans="1:22" ht="18.75" customHeight="1">
      <c r="A7" s="313">
        <f>IF(Rajtlista!D6="","",3)</f>
        <v>3</v>
      </c>
      <c r="B7" s="314">
        <v>7</v>
      </c>
      <c r="C7" s="315" t="s">
        <v>99</v>
      </c>
      <c r="D7" s="315" t="s">
        <v>103</v>
      </c>
      <c r="E7" s="312">
        <v>51</v>
      </c>
      <c r="F7" s="228"/>
      <c r="G7" s="228"/>
      <c r="H7" s="112">
        <f>Kd_sors!F2</f>
        <v>0</v>
      </c>
      <c r="I7" s="249">
        <f t="shared" si="0"/>
        <v>3</v>
      </c>
      <c r="J7" s="249">
        <f t="shared" si="1"/>
        <v>52</v>
      </c>
      <c r="K7" s="249">
        <f>IF(I7="","",(H5-I7))</f>
        <v>2</v>
      </c>
      <c r="L7" s="249">
        <f>IF(I7="","",IF(I7&lt;=H6,5,))</f>
        <v>0</v>
      </c>
      <c r="M7" s="249">
        <f>IF(AND(I7&gt;H8,I7&lt;16),30,0)</f>
        <v>0</v>
      </c>
      <c r="N7" s="249">
        <f>IF(AND(I7&lt;=H8,I7&gt;3),45,0)</f>
        <v>0</v>
      </c>
      <c r="O7" s="249">
        <f t="shared" si="2"/>
        <v>0</v>
      </c>
      <c r="P7" s="249">
        <f t="shared" si="3"/>
        <v>0</v>
      </c>
      <c r="Q7" s="249">
        <f t="shared" si="4"/>
        <v>50</v>
      </c>
      <c r="R7" s="111"/>
      <c r="S7" s="111"/>
      <c r="T7" s="111"/>
      <c r="U7" s="111"/>
      <c r="V7" s="111"/>
    </row>
    <row r="8" spans="1:22" ht="18.75" customHeight="1">
      <c r="A8" s="313">
        <f>IF(Rajtlista!D7="","",4)</f>
        <v>4</v>
      </c>
      <c r="B8" s="314">
        <v>3</v>
      </c>
      <c r="C8" s="315" t="s">
        <v>106</v>
      </c>
      <c r="D8" s="315">
        <v>0</v>
      </c>
      <c r="E8" s="312"/>
      <c r="F8" s="228"/>
      <c r="G8" s="228"/>
      <c r="H8" s="112">
        <f>Dont_sors!F2</f>
        <v>5</v>
      </c>
      <c r="I8" s="249">
        <f t="shared" si="0"/>
        <v>4</v>
      </c>
      <c r="J8" s="249">
        <f t="shared" si="1"/>
        <v>46</v>
      </c>
      <c r="K8" s="249">
        <f>IF(I8="","",(H5-I8))</f>
        <v>1</v>
      </c>
      <c r="L8" s="249">
        <f>IF(I8="","",IF(I8&lt;=H6,5,))</f>
        <v>0</v>
      </c>
      <c r="M8" s="249">
        <f>IF(AND(I8&gt;H8,I8&lt;16),30,0)</f>
        <v>0</v>
      </c>
      <c r="N8" s="249">
        <f>IF(AND(I8&lt;=H8,I8&gt;3),45,0)</f>
        <v>45</v>
      </c>
      <c r="O8" s="249">
        <f t="shared" si="2"/>
        <v>0</v>
      </c>
      <c r="P8" s="249">
        <f t="shared" si="3"/>
        <v>0</v>
      </c>
      <c r="Q8" s="249">
        <f t="shared" si="4"/>
        <v>0</v>
      </c>
      <c r="R8" s="111"/>
      <c r="S8" s="111"/>
      <c r="T8" s="111"/>
      <c r="U8" s="111"/>
      <c r="V8" s="111"/>
    </row>
    <row r="9" spans="1:22" ht="18.75" customHeight="1">
      <c r="A9" s="313">
        <f>IF(Rajtlista!D8="","",5)</f>
        <v>5</v>
      </c>
      <c r="B9" s="314">
        <v>10</v>
      </c>
      <c r="C9" s="315" t="s">
        <v>100</v>
      </c>
      <c r="D9" s="315" t="s">
        <v>104</v>
      </c>
      <c r="E9" s="312">
        <f aca="true" t="shared" si="5" ref="E5:E10">IF(B9="","",J9)</f>
        <v>45</v>
      </c>
      <c r="F9" s="228"/>
      <c r="G9" s="228"/>
      <c r="H9" s="112"/>
      <c r="I9" s="249">
        <f t="shared" si="0"/>
        <v>5</v>
      </c>
      <c r="J9" s="249">
        <f t="shared" si="1"/>
        <v>45</v>
      </c>
      <c r="K9" s="249">
        <f>IF(I9="","",(H5-I9))</f>
        <v>0</v>
      </c>
      <c r="L9" s="249">
        <f>IF(I9="","",IF(I9&lt;=H6,5,))</f>
        <v>0</v>
      </c>
      <c r="M9" s="249">
        <f>IF(AND(I9&gt;H8,I9&lt;16),30,0)</f>
        <v>0</v>
      </c>
      <c r="N9" s="249">
        <f>IF(AND(I9&lt;=H8,I9&gt;3),45,0)</f>
        <v>45</v>
      </c>
      <c r="O9" s="249">
        <f t="shared" si="2"/>
        <v>0</v>
      </c>
      <c r="P9" s="249">
        <f t="shared" si="3"/>
        <v>0</v>
      </c>
      <c r="Q9" s="249">
        <f t="shared" si="4"/>
        <v>0</v>
      </c>
      <c r="R9" s="111"/>
      <c r="S9" s="111"/>
      <c r="T9" s="111"/>
      <c r="U9" s="111"/>
      <c r="V9" s="111"/>
    </row>
    <row r="10" spans="1:22" ht="18.75" customHeight="1">
      <c r="A10" s="313">
        <f>IF(Rajtlista!D9="","",6)</f>
      </c>
      <c r="B10" s="314"/>
      <c r="C10" s="315"/>
      <c r="D10" s="315"/>
      <c r="E10" s="312">
        <f t="shared" si="5"/>
      </c>
      <c r="F10" s="228"/>
      <c r="G10" s="228"/>
      <c r="H10" s="112"/>
      <c r="I10" s="249">
        <f t="shared" si="0"/>
      </c>
      <c r="J10" s="249">
        <f t="shared" si="1"/>
      </c>
      <c r="K10" s="249">
        <f>IF(I10="","",(H5-I10))</f>
      </c>
      <c r="L10" s="249">
        <f>IF(I10="","",IF(I10&lt;=H6,5,))</f>
      </c>
      <c r="M10" s="249">
        <f>IF(AND(I10&gt;H8,I10&lt;16),30,0)</f>
        <v>0</v>
      </c>
      <c r="N10" s="249">
        <f>IF(AND(I10&lt;=H8,I10&gt;3),45,0)</f>
        <v>0</v>
      </c>
      <c r="O10" s="249">
        <f t="shared" si="2"/>
        <v>0</v>
      </c>
      <c r="P10" s="249">
        <f t="shared" si="3"/>
        <v>0</v>
      </c>
      <c r="Q10" s="249">
        <f t="shared" si="4"/>
        <v>0</v>
      </c>
      <c r="R10" s="111"/>
      <c r="S10" s="111"/>
      <c r="T10" s="111"/>
      <c r="U10" s="111"/>
      <c r="V10" s="111"/>
    </row>
    <row r="11" spans="1:22" ht="18.75" customHeight="1">
      <c r="A11" s="313">
        <f>IF(Rajtlista!D10="","",7)</f>
      </c>
      <c r="B11" s="314"/>
      <c r="C11" s="315"/>
      <c r="D11" s="315"/>
      <c r="E11" s="312">
        <f>IF(B11="","",J11)</f>
      </c>
      <c r="F11" s="228"/>
      <c r="G11" s="228"/>
      <c r="H11" s="112"/>
      <c r="I11" s="249">
        <f t="shared" si="0"/>
      </c>
      <c r="J11" s="249">
        <f t="shared" si="1"/>
      </c>
      <c r="K11" s="249">
        <f>IF(I11="","",(H5-I11))</f>
      </c>
      <c r="L11" s="249">
        <f>IF(I11="","",IF(I11&lt;=H6,5,))</f>
      </c>
      <c r="M11" s="249">
        <f>IF(AND(I11&gt;H8,I11&lt;16),30,0)</f>
        <v>0</v>
      </c>
      <c r="N11" s="249">
        <f>IF(AND(I11&lt;=H8,I11&gt;3),45,0)</f>
        <v>0</v>
      </c>
      <c r="O11" s="249">
        <f t="shared" si="2"/>
        <v>0</v>
      </c>
      <c r="P11" s="249">
        <f t="shared" si="3"/>
        <v>0</v>
      </c>
      <c r="Q11" s="249">
        <f t="shared" si="4"/>
        <v>0</v>
      </c>
      <c r="R11" s="111"/>
      <c r="S11" s="111"/>
      <c r="T11" s="111"/>
      <c r="U11" s="111"/>
      <c r="V11" s="111"/>
    </row>
    <row r="12" spans="1:22" ht="18.75" customHeight="1">
      <c r="A12" s="313">
        <f>IF(Vegeredmeny!B12="","",IF(R_fut_tov!M10=R_fut_tov!M9,7,8))</f>
      </c>
      <c r="B12" s="314"/>
      <c r="C12" s="315"/>
      <c r="D12" s="315"/>
      <c r="E12" s="312">
        <f>IF(B12="","",J12)</f>
      </c>
      <c r="F12" s="228"/>
      <c r="G12" s="228"/>
      <c r="H12" s="112"/>
      <c r="I12" s="249">
        <f t="shared" si="0"/>
      </c>
      <c r="J12" s="249">
        <f t="shared" si="1"/>
      </c>
      <c r="K12" s="249">
        <f>IF(I12="","",(H5-I12))</f>
      </c>
      <c r="L12" s="249">
        <f>IF(I12="","",IF(I12&lt;=H6,5,))</f>
      </c>
      <c r="M12" s="249">
        <f>IF(AND(I12&gt;H8,I12&lt;16),30,0)</f>
        <v>0</v>
      </c>
      <c r="N12" s="249">
        <f>IF(AND(I12&lt;=H8,I12&gt;3),45,0)</f>
        <v>0</v>
      </c>
      <c r="O12" s="249">
        <f t="shared" si="2"/>
        <v>0</v>
      </c>
      <c r="P12" s="249">
        <f t="shared" si="3"/>
        <v>0</v>
      </c>
      <c r="Q12" s="249">
        <f t="shared" si="4"/>
        <v>0</v>
      </c>
      <c r="R12" s="111"/>
      <c r="S12" s="111"/>
      <c r="T12" s="111"/>
      <c r="U12" s="111"/>
      <c r="V12" s="111"/>
    </row>
    <row r="13" spans="1:22" ht="18.75" customHeight="1">
      <c r="A13" s="313">
        <f>IF(Vegeredmeny!B13="","",IF(R_fut_tov!M11=R_fut_tov!M10,8,9))</f>
      </c>
      <c r="B13" s="314"/>
      <c r="C13" s="316"/>
      <c r="D13" s="315"/>
      <c r="E13" s="312">
        <f>IF(B13="","",J13)</f>
      </c>
      <c r="F13" s="228"/>
      <c r="G13" s="228"/>
      <c r="H13" s="112"/>
      <c r="I13" s="249">
        <f t="shared" si="0"/>
      </c>
      <c r="J13" s="249">
        <f t="shared" si="1"/>
      </c>
      <c r="K13" s="249">
        <f>IF(I13="","",(H5-I13))</f>
      </c>
      <c r="L13" s="249">
        <f>IF(I13="","",IF(I13&lt;=H6,5,))</f>
      </c>
      <c r="M13" s="249">
        <f>IF(AND(I13&gt;H8,I13&lt;16),30,0)</f>
        <v>0</v>
      </c>
      <c r="N13" s="249">
        <f>IF(AND(I13&lt;=H8,I13&gt;3),45,0)</f>
        <v>0</v>
      </c>
      <c r="O13" s="249">
        <f t="shared" si="2"/>
        <v>0</v>
      </c>
      <c r="P13" s="249">
        <f t="shared" si="3"/>
        <v>0</v>
      </c>
      <c r="Q13" s="249">
        <f t="shared" si="4"/>
        <v>0</v>
      </c>
      <c r="R13" s="111"/>
      <c r="S13" s="111"/>
      <c r="T13" s="111"/>
      <c r="U13" s="111"/>
      <c r="V13" s="111"/>
    </row>
    <row r="14" spans="1:22" ht="18.75" customHeight="1">
      <c r="A14" s="313">
        <f>IF(Vegeredmeny!B14="","",IF(R_fut_tov!M12=R_fut_tov!M11,9,10))</f>
      </c>
      <c r="B14" s="314"/>
      <c r="C14" s="315"/>
      <c r="D14" s="315"/>
      <c r="E14" s="312">
        <f aca="true" t="shared" si="6" ref="E14:E50">IF(B14="","",J14)</f>
      </c>
      <c r="F14" s="228"/>
      <c r="G14" s="228"/>
      <c r="H14" s="112"/>
      <c r="I14" s="249">
        <f t="shared" si="0"/>
      </c>
      <c r="J14" s="249">
        <f t="shared" si="1"/>
      </c>
      <c r="K14" s="249">
        <f>IF(I14="","",(H5-I14))</f>
      </c>
      <c r="L14" s="249">
        <f>IF(I14="","",IF(I14&lt;=H6,5,))</f>
      </c>
      <c r="M14" s="249">
        <f>IF(AND(I14&gt;H8,I14&lt;16),30,0)</f>
        <v>0</v>
      </c>
      <c r="N14" s="249">
        <f>IF(AND(I14&lt;=H8,I14&gt;3),45,0)</f>
        <v>0</v>
      </c>
      <c r="O14" s="249">
        <f t="shared" si="2"/>
        <v>0</v>
      </c>
      <c r="P14" s="249">
        <f t="shared" si="3"/>
        <v>0</v>
      </c>
      <c r="Q14" s="249">
        <f t="shared" si="4"/>
        <v>0</v>
      </c>
      <c r="R14" s="111"/>
      <c r="S14" s="111"/>
      <c r="T14" s="111"/>
      <c r="U14" s="111"/>
      <c r="V14" s="111"/>
    </row>
    <row r="15" spans="1:22" ht="18.75" customHeight="1">
      <c r="A15" s="309">
        <f>IF(Vegeredmeny!B15="","",IF(R_fut_tov!M13=R_fut_tov!M12,10,11))</f>
      </c>
      <c r="B15" s="314"/>
      <c r="C15" s="315"/>
      <c r="D15" s="315"/>
      <c r="E15" s="317">
        <f t="shared" si="6"/>
      </c>
      <c r="F15" s="228"/>
      <c r="G15" s="228"/>
      <c r="H15" s="112"/>
      <c r="I15" s="249">
        <f t="shared" si="0"/>
      </c>
      <c r="J15" s="249">
        <f t="shared" si="1"/>
      </c>
      <c r="K15" s="249">
        <f>IF(I15="","",(H5-I15))</f>
      </c>
      <c r="L15" s="249">
        <f>IF(I15="","",IF(I15&lt;=H6,5,))</f>
      </c>
      <c r="M15" s="249">
        <f>IF(AND(I15&gt;H8,I15&lt;16),30,0)</f>
        <v>0</v>
      </c>
      <c r="N15" s="249">
        <f>IF(AND(I15&lt;=H8,I15&gt;3),45,0)</f>
        <v>0</v>
      </c>
      <c r="O15" s="249">
        <f t="shared" si="2"/>
        <v>0</v>
      </c>
      <c r="P15" s="249">
        <f t="shared" si="3"/>
        <v>0</v>
      </c>
      <c r="Q15" s="249">
        <f t="shared" si="4"/>
        <v>0</v>
      </c>
      <c r="R15" s="111"/>
      <c r="S15" s="111"/>
      <c r="T15" s="111"/>
      <c r="U15" s="111"/>
      <c r="V15" s="111"/>
    </row>
    <row r="16" spans="1:22" ht="18.75" customHeight="1">
      <c r="A16" s="309">
        <f>IF(Vegeredmeny!B16="","",IF(R_fut_tov!M14=R_fut_tov!M13,11,12))</f>
      </c>
      <c r="B16" s="314"/>
      <c r="C16" s="315"/>
      <c r="D16" s="315"/>
      <c r="E16" s="317">
        <f t="shared" si="6"/>
      </c>
      <c r="F16" s="228"/>
      <c r="G16" s="228"/>
      <c r="H16" s="112"/>
      <c r="I16" s="249">
        <f t="shared" si="0"/>
      </c>
      <c r="J16" s="249">
        <f t="shared" si="1"/>
      </c>
      <c r="K16" s="249">
        <f>IF(I16="","",(H5-I16))</f>
      </c>
      <c r="L16" s="249">
        <f>IF(I16="","",IF(I16&lt;=H6,5,))</f>
      </c>
      <c r="M16" s="249">
        <f>IF(AND(I16&gt;H8,I16&lt;16),30,0)</f>
        <v>0</v>
      </c>
      <c r="N16" s="249">
        <f>IF(AND(I16&lt;=H8,I16&gt;3),45,0)</f>
        <v>0</v>
      </c>
      <c r="O16" s="249">
        <f t="shared" si="2"/>
        <v>0</v>
      </c>
      <c r="P16" s="249">
        <f t="shared" si="3"/>
        <v>0</v>
      </c>
      <c r="Q16" s="249">
        <f t="shared" si="4"/>
        <v>0</v>
      </c>
      <c r="R16" s="111"/>
      <c r="S16" s="111"/>
      <c r="T16" s="111"/>
      <c r="U16" s="111"/>
      <c r="V16" s="111"/>
    </row>
    <row r="17" spans="1:22" ht="18.75" customHeight="1">
      <c r="A17" s="309">
        <f>IF(Vegeredmeny!B17="","",IF(R_fut_tov!M15=R_fut_tov!M14,12,13))</f>
      </c>
      <c r="B17" s="314"/>
      <c r="C17" s="315"/>
      <c r="D17" s="315"/>
      <c r="E17" s="317">
        <f t="shared" si="6"/>
      </c>
      <c r="F17" s="228"/>
      <c r="G17" s="228"/>
      <c r="H17" s="112"/>
      <c r="I17" s="249">
        <f t="shared" si="0"/>
      </c>
      <c r="J17" s="249">
        <f t="shared" si="1"/>
      </c>
      <c r="K17" s="249">
        <f>IF(I17="","",(H5-I17))</f>
      </c>
      <c r="L17" s="249">
        <f>IF(I17="","",IF(I17&lt;=H6,5,))</f>
      </c>
      <c r="M17" s="249">
        <f>IF(AND(I17&gt;H8,I17&lt;16),30,0)</f>
        <v>0</v>
      </c>
      <c r="N17" s="249">
        <f>IF(AND(I17&lt;=H8,I17&gt;3),45,0)</f>
        <v>0</v>
      </c>
      <c r="O17" s="249">
        <f t="shared" si="2"/>
        <v>0</v>
      </c>
      <c r="P17" s="249">
        <f t="shared" si="3"/>
        <v>0</v>
      </c>
      <c r="Q17" s="249">
        <f t="shared" si="4"/>
        <v>0</v>
      </c>
      <c r="R17" s="111"/>
      <c r="S17" s="111"/>
      <c r="T17" s="111"/>
      <c r="U17" s="111"/>
      <c r="V17" s="111"/>
    </row>
    <row r="18" spans="1:22" ht="18.75" customHeight="1">
      <c r="A18" s="309">
        <f>IF(Vegeredmeny!B18="","",IF(R_fut_tov!M16=R_fut_tov!M15,13,14))</f>
      </c>
      <c r="B18" s="314"/>
      <c r="C18" s="315"/>
      <c r="D18" s="315"/>
      <c r="E18" s="284">
        <f t="shared" si="6"/>
      </c>
      <c r="F18" s="228"/>
      <c r="G18" s="228"/>
      <c r="H18" s="112"/>
      <c r="I18" s="249">
        <f t="shared" si="0"/>
      </c>
      <c r="J18" s="249">
        <f t="shared" si="1"/>
      </c>
      <c r="K18" s="249">
        <f>IF(I18="","",(H5-I18))</f>
      </c>
      <c r="L18" s="249">
        <f>IF(I18="","",IF(I18&lt;=H6,5,))</f>
      </c>
      <c r="M18" s="249">
        <f>IF(AND(I18&gt;H8,I18&lt;16),30,0)</f>
        <v>0</v>
      </c>
      <c r="N18" s="249">
        <f>IF(AND(I18&lt;=H8,I18&gt;3),45,0)</f>
        <v>0</v>
      </c>
      <c r="O18" s="249">
        <f t="shared" si="2"/>
        <v>0</v>
      </c>
      <c r="P18" s="249">
        <f t="shared" si="3"/>
        <v>0</v>
      </c>
      <c r="Q18" s="249">
        <f t="shared" si="4"/>
        <v>0</v>
      </c>
      <c r="R18" s="111"/>
      <c r="S18" s="111"/>
      <c r="T18" s="111"/>
      <c r="U18" s="111"/>
      <c r="V18" s="111"/>
    </row>
    <row r="19" spans="1:22" ht="18.75" customHeight="1">
      <c r="A19" s="309">
        <f>IF(Vegeredmeny!B19="","",IF(R_fut_tov!M17=R_fut_tov!M16,14,15))</f>
      </c>
      <c r="B19" s="314"/>
      <c r="C19" s="315"/>
      <c r="D19" s="315"/>
      <c r="E19" s="284">
        <f t="shared" si="6"/>
      </c>
      <c r="F19" s="228"/>
      <c r="G19" s="228"/>
      <c r="H19" s="112"/>
      <c r="I19" s="249">
        <f t="shared" si="0"/>
      </c>
      <c r="J19" s="249">
        <f t="shared" si="1"/>
      </c>
      <c r="K19" s="253">
        <f>IF(I19="","",(H5-I19))</f>
      </c>
      <c r="L19" s="249">
        <f>IF(I19="","",IF(I19&lt;=H6,5,))</f>
      </c>
      <c r="M19" s="249">
        <f>IF(AND(I19&gt;H8,I19&lt;16),30,0)</f>
        <v>0</v>
      </c>
      <c r="N19" s="249">
        <f>IF(AND(I19&lt;=H8,I19&gt;3),45,0)</f>
        <v>0</v>
      </c>
      <c r="O19" s="249">
        <f t="shared" si="2"/>
        <v>0</v>
      </c>
      <c r="P19" s="249">
        <f t="shared" si="3"/>
        <v>0</v>
      </c>
      <c r="Q19" s="249">
        <f t="shared" si="4"/>
        <v>0</v>
      </c>
      <c r="R19" s="111"/>
      <c r="S19" s="111"/>
      <c r="T19" s="111"/>
      <c r="U19" s="111"/>
      <c r="V19" s="111"/>
    </row>
    <row r="20" spans="1:22" ht="18.75" customHeight="1">
      <c r="A20" s="309">
        <f>IF(Vegeredmeny!B20="","",IF(R_fut_tov!M18=R_fut_tov!M17,15,16))</f>
      </c>
      <c r="B20" s="314"/>
      <c r="C20" s="315"/>
      <c r="D20" s="315"/>
      <c r="E20" s="284">
        <f t="shared" si="6"/>
      </c>
      <c r="F20" s="228"/>
      <c r="G20" s="228"/>
      <c r="H20" s="112"/>
      <c r="I20" s="249">
        <f t="shared" si="0"/>
      </c>
      <c r="J20" s="249">
        <f t="shared" si="1"/>
      </c>
      <c r="K20" s="253">
        <f>IF(I20="","",(H5-I20))</f>
      </c>
      <c r="L20" s="249">
        <f>IF(I20="","",IF(I20&lt;=H6,5,))</f>
      </c>
      <c r="M20" s="249">
        <f>IF(AND(I20&gt;H8,I20&lt;16),30,0)</f>
        <v>0</v>
      </c>
      <c r="N20" s="249">
        <f>IF(AND(I20&lt;=H8,I20&gt;3),45,0)</f>
        <v>0</v>
      </c>
      <c r="O20" s="249">
        <f t="shared" si="2"/>
        <v>0</v>
      </c>
      <c r="P20" s="249">
        <f t="shared" si="3"/>
        <v>0</v>
      </c>
      <c r="Q20" s="249">
        <f t="shared" si="4"/>
        <v>0</v>
      </c>
      <c r="R20" s="111"/>
      <c r="S20" s="111"/>
      <c r="T20" s="111"/>
      <c r="U20" s="111"/>
      <c r="V20" s="111"/>
    </row>
    <row r="21" spans="1:22" ht="18.75" customHeight="1">
      <c r="A21" s="309">
        <f>IF(Vegeredmeny!B21="","",IF(R_fut_tov!M19=R_fut_tov!M18,16,17))</f>
      </c>
      <c r="B21" s="314"/>
      <c r="C21" s="315"/>
      <c r="D21" s="315"/>
      <c r="E21" s="284">
        <f t="shared" si="6"/>
      </c>
      <c r="F21" s="228"/>
      <c r="G21" s="228"/>
      <c r="H21" s="112"/>
      <c r="I21" s="249">
        <f t="shared" si="0"/>
      </c>
      <c r="J21" s="249">
        <f t="shared" si="1"/>
      </c>
      <c r="K21" s="253">
        <f>IF(I21="","",(H5-I21))</f>
      </c>
      <c r="L21" s="249">
        <f>IF(I21="","",IF(I21&lt;=H6,5,))</f>
      </c>
      <c r="M21" s="249">
        <f>IF(AND(I21&gt;H8,I21&lt;16),30,0)</f>
        <v>0</v>
      </c>
      <c r="N21" s="249">
        <f>IF(AND(I21&lt;=H8,I21&gt;3),45,0)</f>
        <v>0</v>
      </c>
      <c r="O21" s="249">
        <f t="shared" si="2"/>
        <v>0</v>
      </c>
      <c r="P21" s="249">
        <f t="shared" si="3"/>
        <v>0</v>
      </c>
      <c r="Q21" s="249">
        <f t="shared" si="4"/>
        <v>0</v>
      </c>
      <c r="R21" s="111"/>
      <c r="S21" s="111"/>
      <c r="T21" s="111"/>
      <c r="U21" s="111"/>
      <c r="V21" s="111"/>
    </row>
    <row r="22" spans="1:22" ht="18.75" customHeight="1">
      <c r="A22" s="309">
        <f>IF(Vegeredmeny!B22="","",IF(R_fut_tov!M20=R_fut_tov!M19,17,18))</f>
      </c>
      <c r="B22" s="284"/>
      <c r="C22" s="288"/>
      <c r="D22" s="288"/>
      <c r="E22" s="284">
        <f t="shared" si="6"/>
      </c>
      <c r="F22" s="228"/>
      <c r="G22" s="228"/>
      <c r="H22" s="112"/>
      <c r="I22" s="249">
        <f t="shared" si="0"/>
      </c>
      <c r="J22" s="249">
        <f t="shared" si="1"/>
      </c>
      <c r="K22" s="253">
        <f>IF(I22="","",(H5-I22))</f>
      </c>
      <c r="L22" s="249">
        <f>IF(I22="","",IF(I22&lt;=H6,5,))</f>
      </c>
      <c r="M22" s="249">
        <f>IF(AND(I22&gt;H8,I22&lt;16),30,0)</f>
        <v>0</v>
      </c>
      <c r="N22" s="249">
        <f>IF(AND(I22&lt;=H8,I22&gt;3),45,0)</f>
        <v>0</v>
      </c>
      <c r="O22" s="249">
        <f t="shared" si="2"/>
        <v>0</v>
      </c>
      <c r="P22" s="249">
        <f t="shared" si="3"/>
        <v>0</v>
      </c>
      <c r="Q22" s="249">
        <f t="shared" si="4"/>
        <v>0</v>
      </c>
      <c r="R22" s="111"/>
      <c r="S22" s="111"/>
      <c r="T22" s="111"/>
      <c r="U22" s="111"/>
      <c r="V22" s="111"/>
    </row>
    <row r="23" spans="1:22" ht="18.75" customHeight="1">
      <c r="A23" s="309">
        <f>IF(Vegeredmeny!B23="","",IF(R_fut_tov!M21=R_fut_tov!M20,18,19))</f>
      </c>
      <c r="B23" s="284"/>
      <c r="C23" s="288"/>
      <c r="D23" s="288"/>
      <c r="E23" s="284">
        <f t="shared" si="6"/>
      </c>
      <c r="F23" s="228"/>
      <c r="G23" s="228"/>
      <c r="H23" s="112"/>
      <c r="I23" s="249">
        <f t="shared" si="0"/>
      </c>
      <c r="J23" s="249">
        <f t="shared" si="1"/>
      </c>
      <c r="K23" s="253">
        <f>IF(I23="","",(H5-I23))</f>
      </c>
      <c r="L23" s="249">
        <f>IF(I23="","",IF(I23&lt;=H6,5,))</f>
      </c>
      <c r="M23" s="249">
        <f>IF(AND(I23&gt;H8,I23&lt;16),30,0)</f>
        <v>0</v>
      </c>
      <c r="N23" s="249">
        <f>IF(AND(I23&lt;=H8,I23&gt;3),45,0)</f>
        <v>0</v>
      </c>
      <c r="O23" s="249">
        <f t="shared" si="2"/>
        <v>0</v>
      </c>
      <c r="P23" s="249">
        <f t="shared" si="3"/>
        <v>0</v>
      </c>
      <c r="Q23" s="249">
        <f t="shared" si="4"/>
        <v>0</v>
      </c>
      <c r="R23" s="111"/>
      <c r="S23" s="111"/>
      <c r="T23" s="111"/>
      <c r="U23" s="111"/>
      <c r="V23" s="111"/>
    </row>
    <row r="24" spans="1:22" ht="18.75" customHeight="1">
      <c r="A24" s="309">
        <f>IF(Vegeredmeny!B24="","",IF(R_fut_tov!M22=R_fut_tov!M21,19,20))</f>
      </c>
      <c r="B24" s="284"/>
      <c r="C24" s="288"/>
      <c r="D24" s="288"/>
      <c r="E24" s="284">
        <f t="shared" si="6"/>
      </c>
      <c r="F24" s="228"/>
      <c r="G24" s="228"/>
      <c r="H24" s="112"/>
      <c r="I24" s="249">
        <f t="shared" si="0"/>
      </c>
      <c r="J24" s="249">
        <f t="shared" si="1"/>
      </c>
      <c r="K24" s="253">
        <f>IF(I24="","",(H5-I24))</f>
      </c>
      <c r="L24" s="249">
        <f>IF(I24="","",IF(I24&lt;=H6,5,))</f>
      </c>
      <c r="M24" s="249">
        <f>IF(AND(I24&gt;H8,I24&lt;16),30,0)</f>
        <v>0</v>
      </c>
      <c r="N24" s="249">
        <f>IF(AND(I24&lt;=H8,I24&gt;3),45,0)</f>
        <v>0</v>
      </c>
      <c r="O24" s="249">
        <f t="shared" si="2"/>
        <v>0</v>
      </c>
      <c r="P24" s="249">
        <f t="shared" si="3"/>
        <v>0</v>
      </c>
      <c r="Q24" s="249">
        <f t="shared" si="4"/>
        <v>0</v>
      </c>
      <c r="R24" s="111"/>
      <c r="S24" s="111"/>
      <c r="T24" s="111"/>
      <c r="U24" s="111"/>
      <c r="V24" s="111"/>
    </row>
    <row r="25" spans="1:22" ht="18.75" customHeight="1">
      <c r="A25" s="309">
        <f>IF(Vegeredmeny!B25="","",IF(R_fut_tov!M23=R_fut_tov!M22,20,21))</f>
      </c>
      <c r="B25" s="284"/>
      <c r="C25" s="288"/>
      <c r="D25" s="288"/>
      <c r="E25" s="284">
        <f t="shared" si="6"/>
      </c>
      <c r="F25" s="228"/>
      <c r="G25" s="228"/>
      <c r="H25" s="112"/>
      <c r="I25" s="249">
        <f t="shared" si="0"/>
      </c>
      <c r="J25" s="249">
        <f t="shared" si="1"/>
      </c>
      <c r="K25" s="253">
        <f>IF(I25="","",(H5-I25))</f>
      </c>
      <c r="L25" s="249">
        <f>IF(I25="","",IF(I25&lt;=H6,5,))</f>
      </c>
      <c r="M25" s="249">
        <f>IF(AND(I25&gt;H8,I25&lt;16),30,0)</f>
        <v>0</v>
      </c>
      <c r="N25" s="249">
        <f>IF(AND(I25&lt;=H8,I25&gt;3),45,0)</f>
        <v>0</v>
      </c>
      <c r="O25" s="249">
        <f t="shared" si="2"/>
        <v>0</v>
      </c>
      <c r="P25" s="249">
        <f t="shared" si="3"/>
        <v>0</v>
      </c>
      <c r="Q25" s="249">
        <f t="shared" si="4"/>
        <v>0</v>
      </c>
      <c r="R25" s="111"/>
      <c r="S25" s="111"/>
      <c r="T25" s="111"/>
      <c r="U25" s="111"/>
      <c r="V25" s="111"/>
    </row>
    <row r="26" spans="1:22" ht="18.75" customHeight="1">
      <c r="A26" s="309">
        <f>IF(Vegeredmeny!B26="","",IF(R_fut_tov!M24=R_fut_tov!M23,21,22))</f>
      </c>
      <c r="B26" s="284"/>
      <c r="C26" s="288"/>
      <c r="D26" s="288"/>
      <c r="E26" s="284">
        <f t="shared" si="6"/>
      </c>
      <c r="F26" s="228"/>
      <c r="G26" s="228"/>
      <c r="H26" s="112"/>
      <c r="I26" s="249">
        <f t="shared" si="0"/>
      </c>
      <c r="J26" s="249">
        <f t="shared" si="1"/>
      </c>
      <c r="K26" s="253">
        <f>IF(I26="","",(H5-I26))</f>
      </c>
      <c r="L26" s="249">
        <f>IF(I26="","",IF(I26&lt;=H6,5,))</f>
      </c>
      <c r="M26" s="249">
        <f>IF(AND(I26&gt;H8,I26&lt;16),30,0)</f>
        <v>0</v>
      </c>
      <c r="N26" s="249">
        <f>IF(AND(I26&lt;=H8,I26&gt;3),45,0)</f>
        <v>0</v>
      </c>
      <c r="O26" s="249">
        <f t="shared" si="2"/>
        <v>0</v>
      </c>
      <c r="P26" s="249">
        <f t="shared" si="3"/>
        <v>0</v>
      </c>
      <c r="Q26" s="249">
        <f t="shared" si="4"/>
        <v>0</v>
      </c>
      <c r="R26" s="111"/>
      <c r="S26" s="111"/>
      <c r="T26" s="111"/>
      <c r="U26" s="111"/>
      <c r="V26" s="111"/>
    </row>
    <row r="27" spans="1:22" ht="18.75" customHeight="1">
      <c r="A27" s="128">
        <f>IF(Vegeredmeny!B27="","",IF(R_fut_tov!M25=R_fut_tov!M24,22,23))</f>
      </c>
      <c r="B27" s="27"/>
      <c r="C27" s="35"/>
      <c r="D27" s="35"/>
      <c r="E27" s="27">
        <f t="shared" si="6"/>
      </c>
      <c r="F27" s="228"/>
      <c r="G27" s="228"/>
      <c r="H27" s="112"/>
      <c r="I27" s="249">
        <f t="shared" si="0"/>
      </c>
      <c r="J27" s="249">
        <f t="shared" si="1"/>
      </c>
      <c r="K27" s="253">
        <f>IF(I27="","",(H5-I27))</f>
      </c>
      <c r="L27" s="249">
        <f>IF(I27="","",IF(I27&lt;=H6,5,))</f>
      </c>
      <c r="M27" s="249">
        <f>IF(AND(I27&gt;H8,I27&lt;16),30,0)</f>
        <v>0</v>
      </c>
      <c r="N27" s="249">
        <f>IF(AND(I27&lt;=H8,I27&gt;3),45,0)</f>
        <v>0</v>
      </c>
      <c r="O27" s="249">
        <f t="shared" si="2"/>
        <v>0</v>
      </c>
      <c r="P27" s="249">
        <f t="shared" si="3"/>
        <v>0</v>
      </c>
      <c r="Q27" s="249">
        <f t="shared" si="4"/>
        <v>0</v>
      </c>
      <c r="R27" s="111"/>
      <c r="S27" s="111"/>
      <c r="T27" s="111"/>
      <c r="U27" s="111"/>
      <c r="V27" s="111"/>
    </row>
    <row r="28" spans="1:22" ht="18.75" customHeight="1">
      <c r="A28" s="128">
        <f>IF(Vegeredmeny!B28="","",IF(R_fut_tov!M26=R_fut_tov!M25,23,24))</f>
      </c>
      <c r="B28" s="27"/>
      <c r="C28" s="35"/>
      <c r="D28" s="35"/>
      <c r="E28" s="27">
        <f t="shared" si="6"/>
      </c>
      <c r="F28" s="228"/>
      <c r="G28" s="228"/>
      <c r="H28" s="112"/>
      <c r="I28" s="249">
        <f t="shared" si="0"/>
      </c>
      <c r="J28" s="249">
        <f t="shared" si="1"/>
      </c>
      <c r="K28" s="253">
        <f>IF(I28="","",(H5-I28))</f>
      </c>
      <c r="L28" s="249">
        <f>IF(I28="","",IF(I28&lt;=H6,5,))</f>
      </c>
      <c r="M28" s="249">
        <f>IF(AND(I28&gt;H8,I28&lt;16),30,0)</f>
        <v>0</v>
      </c>
      <c r="N28" s="249">
        <f>IF(AND(I28&lt;=H8,I28&gt;3),45,0)</f>
        <v>0</v>
      </c>
      <c r="O28" s="249">
        <f t="shared" si="2"/>
        <v>0</v>
      </c>
      <c r="P28" s="249">
        <f t="shared" si="3"/>
        <v>0</v>
      </c>
      <c r="Q28" s="249">
        <f t="shared" si="4"/>
        <v>0</v>
      </c>
      <c r="R28" s="111"/>
      <c r="S28" s="111"/>
      <c r="T28" s="111"/>
      <c r="U28" s="111"/>
      <c r="V28" s="111"/>
    </row>
    <row r="29" spans="1:22" ht="18.75" customHeight="1">
      <c r="A29" s="128">
        <f>IF(Vegeredmeny!B29="","",IF(R_fut_tov!M27=R_fut_tov!M26,24,25))</f>
      </c>
      <c r="B29" s="27"/>
      <c r="C29" s="35"/>
      <c r="D29" s="35"/>
      <c r="E29" s="27">
        <f t="shared" si="6"/>
      </c>
      <c r="F29" s="228"/>
      <c r="G29" s="228"/>
      <c r="H29" s="112"/>
      <c r="I29" s="249">
        <f t="shared" si="0"/>
      </c>
      <c r="J29" s="249">
        <f t="shared" si="1"/>
      </c>
      <c r="K29" s="253">
        <f>IF(I29="","",(H5-I29))</f>
      </c>
      <c r="L29" s="249">
        <f>IF(I29="","",IF(I29&lt;=H6,5,))</f>
      </c>
      <c r="M29" s="249">
        <f>IF(AND(I29&gt;H8,I29&lt;16),30,0)</f>
        <v>0</v>
      </c>
      <c r="N29" s="249">
        <f>IF(AND(I29&lt;=H8,I29&gt;3),45,0)</f>
        <v>0</v>
      </c>
      <c r="O29" s="249">
        <f t="shared" si="2"/>
        <v>0</v>
      </c>
      <c r="P29" s="249">
        <f t="shared" si="3"/>
        <v>0</v>
      </c>
      <c r="Q29" s="249">
        <f t="shared" si="4"/>
        <v>0</v>
      </c>
      <c r="R29" s="111"/>
      <c r="S29" s="111"/>
      <c r="T29" s="111"/>
      <c r="U29" s="111"/>
      <c r="V29" s="111"/>
    </row>
    <row r="30" spans="1:22" ht="18.75" customHeight="1">
      <c r="A30" s="128">
        <f>IF(Vegeredmeny!B30="","",IF(R_fut_tov!M28=R_fut_tov!M27,25,26))</f>
      </c>
      <c r="B30" s="27"/>
      <c r="C30" s="35"/>
      <c r="D30" s="35"/>
      <c r="E30" s="27">
        <f t="shared" si="6"/>
      </c>
      <c r="F30" s="228"/>
      <c r="G30" s="228"/>
      <c r="H30" s="112"/>
      <c r="I30" s="249">
        <f t="shared" si="0"/>
      </c>
      <c r="J30" s="254"/>
      <c r="K30" s="112"/>
      <c r="L30" s="112"/>
      <c r="M30" s="112"/>
      <c r="N30" s="111"/>
      <c r="O30" s="111"/>
      <c r="P30" s="112"/>
      <c r="Q30" s="111"/>
      <c r="R30" s="111"/>
      <c r="S30" s="111"/>
      <c r="T30" s="111"/>
      <c r="U30" s="111"/>
      <c r="V30" s="111"/>
    </row>
    <row r="31" spans="1:22" ht="18.75" customHeight="1">
      <c r="A31" s="128">
        <f>IF(Vegeredmeny!B31="","",IF(R_fut_tov!M29=R_fut_tov!M28,26,27))</f>
      </c>
      <c r="B31" s="27"/>
      <c r="C31" s="35"/>
      <c r="D31" s="35"/>
      <c r="E31" s="27">
        <f t="shared" si="6"/>
      </c>
      <c r="F31" s="228"/>
      <c r="G31" s="228"/>
      <c r="H31" s="112"/>
      <c r="I31" s="249">
        <f t="shared" si="0"/>
      </c>
      <c r="J31" s="254"/>
      <c r="K31" s="112"/>
      <c r="L31" s="112"/>
      <c r="M31" s="112"/>
      <c r="N31" s="111"/>
      <c r="O31" s="111"/>
      <c r="P31" s="112"/>
      <c r="Q31" s="111"/>
      <c r="R31" s="111"/>
      <c r="S31" s="111"/>
      <c r="T31" s="111"/>
      <c r="U31" s="111"/>
      <c r="V31" s="111"/>
    </row>
    <row r="32" spans="1:22" ht="18.75" customHeight="1">
      <c r="A32" s="128">
        <f>IF(Vegeredmeny!B32="","",IF(R_fut_tov!M30=R_fut_tov!M29,27,28))</f>
      </c>
      <c r="B32" s="27"/>
      <c r="C32" s="35"/>
      <c r="D32" s="35"/>
      <c r="E32" s="27">
        <f t="shared" si="6"/>
      </c>
      <c r="F32" s="228"/>
      <c r="G32" s="228"/>
      <c r="H32" s="112"/>
      <c r="I32" s="249">
        <f t="shared" si="0"/>
      </c>
      <c r="J32" s="254"/>
      <c r="K32" s="112"/>
      <c r="L32" s="112"/>
      <c r="M32" s="112"/>
      <c r="N32" s="111"/>
      <c r="O32" s="111"/>
      <c r="P32" s="112"/>
      <c r="Q32" s="111"/>
      <c r="R32" s="111"/>
      <c r="S32" s="111"/>
      <c r="T32" s="111"/>
      <c r="U32" s="111"/>
      <c r="V32" s="111"/>
    </row>
    <row r="33" spans="1:22" ht="18.75" customHeight="1">
      <c r="A33" s="128">
        <f>IF(Vegeredmeny!B33="","",IF(R_fut_tov!M31=R_fut_tov!M30,28,29))</f>
      </c>
      <c r="B33" s="27"/>
      <c r="C33" s="35"/>
      <c r="D33" s="35"/>
      <c r="E33" s="27">
        <f t="shared" si="6"/>
      </c>
      <c r="F33" s="228"/>
      <c r="G33" s="228"/>
      <c r="H33" s="112"/>
      <c r="I33" s="249">
        <f t="shared" si="0"/>
      </c>
      <c r="J33" s="254"/>
      <c r="K33" s="112"/>
      <c r="L33" s="112"/>
      <c r="M33" s="112"/>
      <c r="N33" s="111"/>
      <c r="O33" s="111"/>
      <c r="P33" s="112"/>
      <c r="Q33" s="111"/>
      <c r="R33" s="111"/>
      <c r="S33" s="111"/>
      <c r="T33" s="111"/>
      <c r="U33" s="111"/>
      <c r="V33" s="111"/>
    </row>
    <row r="34" spans="1:22" ht="18.75" customHeight="1">
      <c r="A34" s="128">
        <f>IF(Vegeredmeny!B34="","",IF(R_fut_tov!M32=R_fut_tov!M31,29,30))</f>
      </c>
      <c r="B34" s="27"/>
      <c r="C34" s="35"/>
      <c r="D34" s="35"/>
      <c r="E34" s="27">
        <f t="shared" si="6"/>
      </c>
      <c r="F34" s="228"/>
      <c r="G34" s="228"/>
      <c r="H34" s="112"/>
      <c r="I34" s="249">
        <f t="shared" si="0"/>
      </c>
      <c r="J34" s="254"/>
      <c r="K34" s="112"/>
      <c r="L34" s="112"/>
      <c r="M34" s="112"/>
      <c r="N34" s="111"/>
      <c r="O34" s="111"/>
      <c r="P34" s="112"/>
      <c r="Q34" s="111"/>
      <c r="R34" s="111"/>
      <c r="S34" s="111"/>
      <c r="T34" s="111"/>
      <c r="U34" s="111"/>
      <c r="V34" s="111"/>
    </row>
    <row r="35" spans="1:22" ht="18.75" customHeight="1">
      <c r="A35" s="128">
        <f>IF(Vegeredmeny!B35="","",IF(R_fut_tov!M33=R_fut_tov!M32,30,31))</f>
      </c>
      <c r="B35" s="27"/>
      <c r="C35" s="35"/>
      <c r="D35" s="35"/>
      <c r="E35" s="27">
        <f t="shared" si="6"/>
      </c>
      <c r="F35" s="228"/>
      <c r="G35" s="228"/>
      <c r="H35" s="112"/>
      <c r="I35" s="249">
        <f t="shared" si="0"/>
      </c>
      <c r="J35" s="254"/>
      <c r="K35" s="112"/>
      <c r="L35" s="112"/>
      <c r="M35" s="112"/>
      <c r="N35" s="111"/>
      <c r="O35" s="111"/>
      <c r="P35" s="112"/>
      <c r="Q35" s="111"/>
      <c r="R35" s="111"/>
      <c r="S35" s="111"/>
      <c r="T35" s="111"/>
      <c r="U35" s="111"/>
      <c r="V35" s="111"/>
    </row>
    <row r="36" spans="1:22" ht="18.75" customHeight="1">
      <c r="A36" s="128">
        <f>IF(Vegeredmeny!B36="","",IF(R_fut_tov!M34=R_fut_tov!M33,31,32))</f>
      </c>
      <c r="B36" s="27"/>
      <c r="C36" s="35"/>
      <c r="D36" s="35"/>
      <c r="E36" s="27">
        <f t="shared" si="6"/>
      </c>
      <c r="F36" s="228"/>
      <c r="G36" s="228"/>
      <c r="H36" s="112"/>
      <c r="I36" s="249">
        <f t="shared" si="0"/>
      </c>
      <c r="J36" s="254"/>
      <c r="K36" s="112"/>
      <c r="L36" s="112"/>
      <c r="M36" s="112"/>
      <c r="N36" s="111"/>
      <c r="O36" s="111"/>
      <c r="P36" s="112"/>
      <c r="Q36" s="111"/>
      <c r="R36" s="111"/>
      <c r="S36" s="111"/>
      <c r="T36" s="111"/>
      <c r="U36" s="111"/>
      <c r="V36" s="111"/>
    </row>
    <row r="37" spans="1:22" ht="18.75" customHeight="1">
      <c r="A37" s="128">
        <f>IF(Vegeredmeny!B37="","",IF(R_fut_tov!M35=R_fut_tov!M34,32,33))</f>
      </c>
      <c r="B37" s="27"/>
      <c r="C37" s="35"/>
      <c r="D37" s="35"/>
      <c r="E37" s="27">
        <f t="shared" si="6"/>
      </c>
      <c r="F37" s="228"/>
      <c r="G37" s="228"/>
      <c r="H37" s="112"/>
      <c r="I37" s="249">
        <f t="shared" si="0"/>
      </c>
      <c r="J37" s="254"/>
      <c r="K37" s="112"/>
      <c r="L37" s="112"/>
      <c r="M37" s="112"/>
      <c r="N37" s="111"/>
      <c r="O37" s="111"/>
      <c r="P37" s="112"/>
      <c r="Q37" s="111"/>
      <c r="R37" s="111"/>
      <c r="S37" s="111"/>
      <c r="T37" s="111"/>
      <c r="U37" s="111"/>
      <c r="V37" s="111"/>
    </row>
    <row r="38" spans="1:22" ht="18.75" customHeight="1">
      <c r="A38" s="128">
        <f>IF(Vegeredmeny!B38="","",IF(R_fut_tov!M36=R_fut_tov!M35,33,34))</f>
      </c>
      <c r="B38" s="27"/>
      <c r="C38" s="35"/>
      <c r="D38" s="35"/>
      <c r="E38" s="27">
        <f t="shared" si="6"/>
      </c>
      <c r="F38" s="228"/>
      <c r="G38" s="228"/>
      <c r="H38" s="112"/>
      <c r="I38" s="249">
        <f t="shared" si="0"/>
      </c>
      <c r="J38" s="254"/>
      <c r="K38" s="112"/>
      <c r="L38" s="112"/>
      <c r="M38" s="112"/>
      <c r="N38" s="111"/>
      <c r="O38" s="111"/>
      <c r="P38" s="112"/>
      <c r="Q38" s="111"/>
      <c r="R38" s="111"/>
      <c r="S38" s="111"/>
      <c r="T38" s="111"/>
      <c r="U38" s="111"/>
      <c r="V38" s="111"/>
    </row>
    <row r="39" spans="1:22" ht="18.75" customHeight="1">
      <c r="A39" s="128">
        <f>IF(Vegeredmeny!B39="","",IF(R_fut_tov!M37=R_fut_tov!M36,34,33))</f>
      </c>
      <c r="B39" s="27"/>
      <c r="C39" s="35"/>
      <c r="D39" s="35"/>
      <c r="E39" s="27">
        <f t="shared" si="6"/>
      </c>
      <c r="F39" s="228"/>
      <c r="G39" s="228"/>
      <c r="H39" s="112"/>
      <c r="I39" s="249">
        <f t="shared" si="0"/>
      </c>
      <c r="J39" s="254"/>
      <c r="K39" s="112"/>
      <c r="L39" s="112"/>
      <c r="M39" s="112"/>
      <c r="N39" s="111"/>
      <c r="O39" s="111"/>
      <c r="P39" s="112"/>
      <c r="Q39" s="111"/>
      <c r="R39" s="111"/>
      <c r="S39" s="111"/>
      <c r="T39" s="111"/>
      <c r="U39" s="111"/>
      <c r="V39" s="111"/>
    </row>
    <row r="40" spans="1:22" ht="18.75" customHeight="1">
      <c r="A40" s="128">
        <f>IF(Vegeredmeny!B40="","",IF(R_fut_tov!M38=R_fut_tov!M37,35,36))</f>
      </c>
      <c r="B40" s="27"/>
      <c r="C40" s="35"/>
      <c r="D40" s="35"/>
      <c r="E40" s="27">
        <f t="shared" si="6"/>
      </c>
      <c r="F40" s="228"/>
      <c r="G40" s="228"/>
      <c r="H40" s="112"/>
      <c r="I40" s="249">
        <f t="shared" si="0"/>
      </c>
      <c r="J40" s="254"/>
      <c r="K40" s="112"/>
      <c r="L40" s="112"/>
      <c r="M40" s="112"/>
      <c r="N40" s="111"/>
      <c r="O40" s="111"/>
      <c r="P40" s="112"/>
      <c r="Q40" s="111"/>
      <c r="R40" s="111"/>
      <c r="S40" s="111"/>
      <c r="T40" s="111"/>
      <c r="U40" s="111"/>
      <c r="V40" s="111"/>
    </row>
    <row r="41" spans="1:22" ht="18.75" customHeight="1">
      <c r="A41" s="128">
        <f>IF(Vegeredmeny!B41="","",IF(R_fut_tov!M39=R_fut_tov!M38,36,37))</f>
      </c>
      <c r="B41" s="27"/>
      <c r="C41" s="35"/>
      <c r="D41" s="35"/>
      <c r="E41" s="27">
        <f t="shared" si="6"/>
      </c>
      <c r="F41" s="228"/>
      <c r="G41" s="228"/>
      <c r="H41" s="112"/>
      <c r="I41" s="249">
        <f t="shared" si="0"/>
      </c>
      <c r="J41" s="254"/>
      <c r="K41" s="112"/>
      <c r="L41" s="112"/>
      <c r="M41" s="112"/>
      <c r="N41" s="111"/>
      <c r="O41" s="111"/>
      <c r="P41" s="112"/>
      <c r="Q41" s="111"/>
      <c r="R41" s="111"/>
      <c r="S41" s="111"/>
      <c r="T41" s="111"/>
      <c r="U41" s="111"/>
      <c r="V41" s="111"/>
    </row>
    <row r="42" spans="1:22" ht="18.75" customHeight="1">
      <c r="A42" s="128">
        <f>IF(Vegeredmeny!B42="","",IF(R_fut_tov!M40=R_fut_tov!M39,37,38))</f>
      </c>
      <c r="B42" s="27"/>
      <c r="C42" s="35"/>
      <c r="D42" s="35"/>
      <c r="E42" s="27">
        <f t="shared" si="6"/>
      </c>
      <c r="F42" s="228"/>
      <c r="G42" s="228"/>
      <c r="H42" s="112"/>
      <c r="I42" s="249">
        <f t="shared" si="0"/>
      </c>
      <c r="J42" s="254"/>
      <c r="K42" s="112"/>
      <c r="L42" s="112"/>
      <c r="M42" s="112"/>
      <c r="N42" s="111"/>
      <c r="O42" s="111"/>
      <c r="P42" s="112"/>
      <c r="Q42" s="111"/>
      <c r="R42" s="111"/>
      <c r="S42" s="111"/>
      <c r="T42" s="111"/>
      <c r="U42" s="111"/>
      <c r="V42" s="111"/>
    </row>
    <row r="43" spans="1:22" ht="18.75" customHeight="1">
      <c r="A43" s="128">
        <f>IF(Vegeredmeny!B43="","",IF(R_fut_tov!M41=R_fut_tov!M40,38,39))</f>
      </c>
      <c r="B43" s="27"/>
      <c r="C43" s="35"/>
      <c r="D43" s="35"/>
      <c r="E43" s="27">
        <f t="shared" si="6"/>
      </c>
      <c r="F43" s="228"/>
      <c r="G43" s="228"/>
      <c r="H43" s="112"/>
      <c r="I43" s="249">
        <f t="shared" si="0"/>
      </c>
      <c r="J43" s="254"/>
      <c r="K43" s="112"/>
      <c r="L43" s="112"/>
      <c r="M43" s="112"/>
      <c r="N43" s="111"/>
      <c r="O43" s="111"/>
      <c r="P43" s="112"/>
      <c r="Q43" s="111"/>
      <c r="R43" s="111"/>
      <c r="S43" s="111"/>
      <c r="T43" s="111"/>
      <c r="U43" s="111"/>
      <c r="V43" s="111"/>
    </row>
    <row r="44" spans="1:22" ht="18.75" customHeight="1">
      <c r="A44" s="128">
        <f>IF(Vegeredmeny!B44="","",IF(R_fut_tov!M42=R_fut_tov!M41,39,40))</f>
      </c>
      <c r="B44" s="27"/>
      <c r="C44" s="35"/>
      <c r="D44" s="35"/>
      <c r="E44" s="27">
        <f t="shared" si="6"/>
      </c>
      <c r="F44" s="228"/>
      <c r="G44" s="228"/>
      <c r="H44" s="112"/>
      <c r="I44" s="249">
        <f t="shared" si="0"/>
      </c>
      <c r="J44" s="254"/>
      <c r="K44" s="112"/>
      <c r="L44" s="112"/>
      <c r="M44" s="112"/>
      <c r="N44" s="111"/>
      <c r="O44" s="111"/>
      <c r="P44" s="112"/>
      <c r="Q44" s="111"/>
      <c r="R44" s="111"/>
      <c r="S44" s="111"/>
      <c r="T44" s="111"/>
      <c r="U44" s="111"/>
      <c r="V44" s="111"/>
    </row>
    <row r="45" spans="1:22" ht="18.75" customHeight="1">
      <c r="A45" s="128">
        <f>IF(Vegeredmeny!B45="","",IF(R_fut_tov!M43=R_fut_tov!M42,40,41))</f>
      </c>
      <c r="B45" s="27"/>
      <c r="C45" s="35"/>
      <c r="D45" s="35"/>
      <c r="E45" s="27">
        <f t="shared" si="6"/>
      </c>
      <c r="F45" s="228"/>
      <c r="G45" s="228"/>
      <c r="H45" s="112"/>
      <c r="I45" s="249">
        <f t="shared" si="0"/>
      </c>
      <c r="J45" s="254"/>
      <c r="K45" s="112"/>
      <c r="L45" s="112"/>
      <c r="M45" s="112"/>
      <c r="N45" s="111"/>
      <c r="O45" s="111"/>
      <c r="P45" s="112"/>
      <c r="Q45" s="111"/>
      <c r="R45" s="111"/>
      <c r="S45" s="111"/>
      <c r="T45" s="111"/>
      <c r="U45" s="111"/>
      <c r="V45" s="111"/>
    </row>
    <row r="46" spans="1:22" ht="18.75" customHeight="1">
      <c r="A46" s="128">
        <f>IF(Vegeredmeny!B46="","",IF(R_fut_tov!M44=R_fut_tov!M43,41,42))</f>
      </c>
      <c r="B46" s="27"/>
      <c r="C46" s="35"/>
      <c r="D46" s="35"/>
      <c r="E46" s="27">
        <f t="shared" si="6"/>
      </c>
      <c r="F46" s="228"/>
      <c r="G46" s="228"/>
      <c r="H46" s="112"/>
      <c r="I46" s="249">
        <f t="shared" si="0"/>
      </c>
      <c r="J46" s="254"/>
      <c r="K46" s="112"/>
      <c r="L46" s="112"/>
      <c r="M46" s="112"/>
      <c r="N46" s="111"/>
      <c r="O46" s="111"/>
      <c r="P46" s="112"/>
      <c r="Q46" s="111"/>
      <c r="R46" s="111"/>
      <c r="S46" s="111"/>
      <c r="T46" s="111"/>
      <c r="U46" s="111"/>
      <c r="V46" s="111"/>
    </row>
    <row r="47" spans="1:22" ht="18.75" customHeight="1">
      <c r="A47" s="128">
        <f>IF(Vegeredmeny!B47="","",IF(R_fut_tov!M45=R_fut_tov!M44,42,43))</f>
      </c>
      <c r="B47" s="27"/>
      <c r="C47" s="35"/>
      <c r="D47" s="35"/>
      <c r="E47" s="27">
        <f t="shared" si="6"/>
      </c>
      <c r="F47" s="228"/>
      <c r="G47" s="228"/>
      <c r="H47" s="112"/>
      <c r="I47" s="249">
        <f t="shared" si="0"/>
      </c>
      <c r="J47" s="254"/>
      <c r="K47" s="112"/>
      <c r="L47" s="112"/>
      <c r="M47" s="112"/>
      <c r="N47" s="111"/>
      <c r="O47" s="111"/>
      <c r="P47" s="112"/>
      <c r="Q47" s="111"/>
      <c r="R47" s="111"/>
      <c r="S47" s="111"/>
      <c r="T47" s="111"/>
      <c r="U47" s="111"/>
      <c r="V47" s="111"/>
    </row>
    <row r="48" spans="1:22" ht="18.75" customHeight="1">
      <c r="A48" s="128">
        <f>IF(Vegeredmeny!B48="","",IF(R_fut_tov!M46=R_fut_tov!M45,43,44))</f>
      </c>
      <c r="B48" s="27"/>
      <c r="C48" s="35"/>
      <c r="D48" s="35"/>
      <c r="E48" s="27">
        <f t="shared" si="6"/>
      </c>
      <c r="F48" s="228"/>
      <c r="G48" s="228"/>
      <c r="H48" s="112"/>
      <c r="I48" s="249">
        <f t="shared" si="0"/>
      </c>
      <c r="J48" s="254"/>
      <c r="K48" s="112"/>
      <c r="L48" s="112"/>
      <c r="M48" s="112"/>
      <c r="N48" s="111"/>
      <c r="O48" s="111"/>
      <c r="P48" s="112"/>
      <c r="Q48" s="111"/>
      <c r="R48" s="111"/>
      <c r="S48" s="111"/>
      <c r="T48" s="111"/>
      <c r="U48" s="111"/>
      <c r="V48" s="111"/>
    </row>
    <row r="49" spans="1:22" ht="18.75" customHeight="1">
      <c r="A49" s="128">
        <f>IF(Vegeredmeny!B49="","",IF(R_fut_tov!M47=R_fut_tov!M46,44,45))</f>
      </c>
      <c r="B49" s="27"/>
      <c r="C49" s="35"/>
      <c r="D49" s="35"/>
      <c r="E49" s="27">
        <f t="shared" si="6"/>
      </c>
      <c r="F49" s="228"/>
      <c r="G49" s="228"/>
      <c r="H49" s="112"/>
      <c r="I49" s="249">
        <f t="shared" si="0"/>
      </c>
      <c r="J49" s="254"/>
      <c r="K49" s="112"/>
      <c r="L49" s="112"/>
      <c r="M49" s="112"/>
      <c r="N49" s="111"/>
      <c r="O49" s="111"/>
      <c r="P49" s="112"/>
      <c r="Q49" s="111"/>
      <c r="R49" s="111"/>
      <c r="S49" s="111"/>
      <c r="T49" s="111"/>
      <c r="U49" s="111"/>
      <c r="V49" s="111"/>
    </row>
    <row r="50" spans="1:22" ht="18.75" customHeight="1">
      <c r="A50" s="128">
        <f>IF(Vegeredmeny!B50="","",IF(R_fut_tov!M48=R_fut_tov!M47,45,46))</f>
      </c>
      <c r="B50" s="27"/>
      <c r="C50" s="35"/>
      <c r="D50" s="35"/>
      <c r="E50" s="27">
        <f t="shared" si="6"/>
      </c>
      <c r="F50" s="228"/>
      <c r="G50" s="228"/>
      <c r="H50" s="112"/>
      <c r="I50" s="249">
        <f t="shared" si="0"/>
      </c>
      <c r="J50" s="254"/>
      <c r="K50" s="112"/>
      <c r="L50" s="112"/>
      <c r="M50" s="112"/>
      <c r="N50" s="111"/>
      <c r="O50" s="111"/>
      <c r="P50" s="112"/>
      <c r="Q50" s="111"/>
      <c r="R50" s="111"/>
      <c r="S50" s="111"/>
      <c r="T50" s="111"/>
      <c r="U50" s="111"/>
      <c r="V50" s="111"/>
    </row>
    <row r="51" spans="1:16" ht="12.75">
      <c r="A51" s="136"/>
      <c r="B51" s="136"/>
      <c r="C51" s="136"/>
      <c r="D51" s="135"/>
      <c r="E51" s="135"/>
      <c r="F51" s="136"/>
      <c r="G51" s="31"/>
      <c r="J51" s="101"/>
      <c r="L51" s="20"/>
      <c r="M51" s="20"/>
      <c r="P51" s="20"/>
    </row>
    <row r="52" spans="1:16" ht="12.75">
      <c r="A52" s="136"/>
      <c r="B52" s="136"/>
      <c r="C52" s="136"/>
      <c r="D52" s="135"/>
      <c r="E52" s="135"/>
      <c r="F52" s="136"/>
      <c r="G52" s="31"/>
      <c r="J52" s="101"/>
      <c r="L52" s="20"/>
      <c r="M52" s="20"/>
      <c r="P52" s="20"/>
    </row>
    <row r="53" spans="1:16" ht="12.75">
      <c r="A53" s="136"/>
      <c r="B53" s="136"/>
      <c r="C53" s="136"/>
      <c r="D53" s="135"/>
      <c r="E53" s="135"/>
      <c r="F53" s="136"/>
      <c r="G53" s="31"/>
      <c r="J53" s="101"/>
      <c r="L53" s="20"/>
      <c r="M53" s="20"/>
      <c r="P53" s="20"/>
    </row>
    <row r="54" spans="1:16" ht="12.75">
      <c r="A54" s="31"/>
      <c r="B54" s="31"/>
      <c r="C54" s="31"/>
      <c r="F54" s="31"/>
      <c r="G54" s="31"/>
      <c r="J54" s="101"/>
      <c r="L54" s="20"/>
      <c r="M54" s="20"/>
      <c r="P54" s="20"/>
    </row>
    <row r="55" spans="1:16" ht="12.75">
      <c r="A55" s="31"/>
      <c r="B55" s="31"/>
      <c r="C55" s="31"/>
      <c r="F55" s="31"/>
      <c r="G55" s="31"/>
      <c r="J55" s="101"/>
      <c r="L55" s="20"/>
      <c r="M55" s="20"/>
      <c r="P55" s="20"/>
    </row>
    <row r="56" spans="1:16" ht="12.75">
      <c r="A56" s="31"/>
      <c r="B56" s="31"/>
      <c r="C56" s="31"/>
      <c r="F56" s="31"/>
      <c r="G56" s="31"/>
      <c r="J56" s="101"/>
      <c r="L56" s="20"/>
      <c r="M56" s="20"/>
      <c r="P56" s="20"/>
    </row>
    <row r="57" spans="1:16" ht="12.75">
      <c r="A57" s="31"/>
      <c r="B57" s="31"/>
      <c r="C57" s="31"/>
      <c r="F57" s="31"/>
      <c r="G57" s="31"/>
      <c r="J57" s="101"/>
      <c r="L57" s="20"/>
      <c r="M57" s="20"/>
      <c r="P57" s="20"/>
    </row>
    <row r="58" spans="1:16" ht="12.75">
      <c r="A58" s="31"/>
      <c r="B58" s="31"/>
      <c r="C58" s="31"/>
      <c r="F58" s="31"/>
      <c r="G58" s="31"/>
      <c r="J58" s="101"/>
      <c r="L58" s="20"/>
      <c r="M58" s="20"/>
      <c r="P58" s="20"/>
    </row>
    <row r="59" spans="1:16" ht="12.75">
      <c r="A59" s="31"/>
      <c r="B59" s="31"/>
      <c r="C59" s="31"/>
      <c r="F59" s="31"/>
      <c r="G59" s="31"/>
      <c r="J59" s="101"/>
      <c r="L59" s="20"/>
      <c r="M59" s="20"/>
      <c r="P59" s="20"/>
    </row>
    <row r="60" spans="1:16" ht="12.75">
      <c r="A60" s="31"/>
      <c r="B60" s="31"/>
      <c r="C60" s="31"/>
      <c r="F60" s="31"/>
      <c r="G60" s="31"/>
      <c r="J60" s="101"/>
      <c r="L60" s="20"/>
      <c r="M60" s="20"/>
      <c r="P60" s="20"/>
    </row>
    <row r="61" spans="1:16" ht="12.75">
      <c r="A61" s="31"/>
      <c r="B61" s="31"/>
      <c r="C61" s="31"/>
      <c r="F61" s="31"/>
      <c r="G61" s="31"/>
      <c r="J61" s="101"/>
      <c r="L61" s="20"/>
      <c r="M61" s="20"/>
      <c r="P61" s="20"/>
    </row>
    <row r="62" spans="1:16" ht="12.75">
      <c r="A62" s="31"/>
      <c r="B62" s="31"/>
      <c r="C62" s="31"/>
      <c r="F62" s="31"/>
      <c r="G62" s="31"/>
      <c r="J62" s="101"/>
      <c r="L62" s="20"/>
      <c r="M62" s="20"/>
      <c r="P62" s="20"/>
    </row>
    <row r="63" spans="1:16" ht="12.75">
      <c r="A63" s="31"/>
      <c r="B63" s="31"/>
      <c r="C63" s="31"/>
      <c r="F63" s="31"/>
      <c r="G63" s="31"/>
      <c r="J63" s="101"/>
      <c r="L63" s="20"/>
      <c r="M63" s="20"/>
      <c r="P63" s="20"/>
    </row>
    <row r="64" spans="1:16" ht="12.75">
      <c r="A64" s="31"/>
      <c r="B64" s="31"/>
      <c r="C64" s="31"/>
      <c r="F64" s="31"/>
      <c r="G64" s="31"/>
      <c r="J64" s="101"/>
      <c r="L64" s="20"/>
      <c r="M64" s="20"/>
      <c r="P64" s="20"/>
    </row>
    <row r="65" spans="1:16" ht="12.75">
      <c r="A65" s="31"/>
      <c r="B65" s="31"/>
      <c r="C65" s="31"/>
      <c r="F65" s="31"/>
      <c r="G65" s="31"/>
      <c r="J65" s="101"/>
      <c r="L65" s="20"/>
      <c r="M65" s="20"/>
      <c r="P65" s="20"/>
    </row>
    <row r="66" spans="1:16" ht="12.75">
      <c r="A66" s="31"/>
      <c r="B66" s="31"/>
      <c r="C66" s="31"/>
      <c r="F66" s="31"/>
      <c r="G66" s="31"/>
      <c r="J66" s="101"/>
      <c r="L66" s="20"/>
      <c r="M66" s="20"/>
      <c r="P66" s="20"/>
    </row>
    <row r="67" spans="1:16" ht="12.75">
      <c r="A67" s="31"/>
      <c r="B67" s="31"/>
      <c r="C67" s="31"/>
      <c r="F67" s="31"/>
      <c r="G67" s="31"/>
      <c r="J67" s="101"/>
      <c r="L67" s="20"/>
      <c r="M67" s="20"/>
      <c r="P67" s="20"/>
    </row>
    <row r="68" spans="1:16" ht="12.75">
      <c r="A68" s="31"/>
      <c r="B68" s="31"/>
      <c r="C68" s="31"/>
      <c r="F68" s="31"/>
      <c r="G68" s="31"/>
      <c r="J68" s="101"/>
      <c r="L68" s="20"/>
      <c r="M68" s="20"/>
      <c r="P68" s="20"/>
    </row>
    <row r="69" spans="1:16" ht="12.75">
      <c r="A69" s="31"/>
      <c r="B69" s="31"/>
      <c r="C69" s="31"/>
      <c r="F69" s="31"/>
      <c r="G69" s="31"/>
      <c r="J69" s="101"/>
      <c r="L69" s="20"/>
      <c r="M69" s="20"/>
      <c r="P69" s="20"/>
    </row>
    <row r="70" spans="1:16" ht="12.75">
      <c r="A70" s="31"/>
      <c r="B70" s="31"/>
      <c r="C70" s="31"/>
      <c r="F70" s="31"/>
      <c r="G70" s="31"/>
      <c r="J70" s="101"/>
      <c r="L70" s="20"/>
      <c r="M70" s="20"/>
      <c r="P70" s="20"/>
    </row>
    <row r="71" spans="1:16" ht="12.75">
      <c r="A71" s="31"/>
      <c r="B71" s="31"/>
      <c r="C71" s="31"/>
      <c r="F71" s="31"/>
      <c r="G71" s="31"/>
      <c r="J71" s="101"/>
      <c r="L71" s="20"/>
      <c r="M71" s="20"/>
      <c r="P71" s="20"/>
    </row>
    <row r="72" spans="1:16" ht="12.75">
      <c r="A72" s="31"/>
      <c r="B72" s="31"/>
      <c r="C72" s="31"/>
      <c r="F72" s="31"/>
      <c r="G72" s="31"/>
      <c r="J72" s="101"/>
      <c r="L72" s="20"/>
      <c r="M72" s="20"/>
      <c r="P72" s="20"/>
    </row>
    <row r="73" spans="1:16" ht="12.75">
      <c r="A73" s="31"/>
      <c r="B73" s="31"/>
      <c r="C73" s="31"/>
      <c r="F73" s="31"/>
      <c r="G73" s="31"/>
      <c r="J73" s="101"/>
      <c r="L73" s="20"/>
      <c r="M73" s="20"/>
      <c r="P73" s="20"/>
    </row>
    <row r="74" spans="1:16" ht="12.75">
      <c r="A74" s="31"/>
      <c r="B74" s="31"/>
      <c r="C74" s="31"/>
      <c r="F74" s="31"/>
      <c r="G74" s="31"/>
      <c r="J74" s="101"/>
      <c r="L74" s="20"/>
      <c r="M74" s="20"/>
      <c r="P74" s="20"/>
    </row>
    <row r="75" spans="1:16" ht="12.75">
      <c r="A75" s="31"/>
      <c r="B75" s="31"/>
      <c r="C75" s="31"/>
      <c r="F75" s="31"/>
      <c r="G75" s="31"/>
      <c r="J75" s="101"/>
      <c r="L75" s="20"/>
      <c r="M75" s="20"/>
      <c r="P75" s="20"/>
    </row>
    <row r="76" spans="1:16" ht="12.75">
      <c r="A76" s="31"/>
      <c r="B76" s="31"/>
      <c r="C76" s="31"/>
      <c r="F76" s="31"/>
      <c r="G76" s="31"/>
      <c r="J76" s="101"/>
      <c r="L76" s="20"/>
      <c r="M76" s="20"/>
      <c r="P76" s="20"/>
    </row>
    <row r="77" spans="1:16" ht="12.75">
      <c r="A77" s="31"/>
      <c r="B77" s="31"/>
      <c r="C77" s="31"/>
      <c r="F77" s="31"/>
      <c r="G77" s="31"/>
      <c r="J77" s="101"/>
      <c r="L77" s="20"/>
      <c r="M77" s="20"/>
      <c r="P77" s="20"/>
    </row>
    <row r="78" spans="1:16" ht="12.75">
      <c r="A78" s="31"/>
      <c r="B78" s="31"/>
      <c r="C78" s="31"/>
      <c r="F78" s="31"/>
      <c r="G78" s="31"/>
      <c r="J78" s="101"/>
      <c r="L78" s="20"/>
      <c r="M78" s="20"/>
      <c r="P78" s="20"/>
    </row>
    <row r="79" spans="1:16" ht="12.75">
      <c r="A79" s="31"/>
      <c r="B79" s="31"/>
      <c r="C79" s="31"/>
      <c r="F79" s="31"/>
      <c r="G79" s="31"/>
      <c r="J79" s="101"/>
      <c r="L79" s="20"/>
      <c r="M79" s="20"/>
      <c r="P79" s="20"/>
    </row>
    <row r="80" spans="1:16" ht="12.75">
      <c r="A80" s="31"/>
      <c r="B80" s="31"/>
      <c r="C80" s="31"/>
      <c r="F80" s="31"/>
      <c r="G80" s="31"/>
      <c r="J80" s="101"/>
      <c r="L80" s="20"/>
      <c r="M80" s="20"/>
      <c r="P80" s="20"/>
    </row>
    <row r="81" spans="1:16" ht="12.75">
      <c r="A81" s="31"/>
      <c r="B81" s="31"/>
      <c r="C81" s="31"/>
      <c r="F81" s="31"/>
      <c r="G81" s="31"/>
      <c r="J81" s="101"/>
      <c r="L81" s="20"/>
      <c r="M81" s="20"/>
      <c r="P81" s="20"/>
    </row>
    <row r="82" spans="1:16" ht="12.75">
      <c r="A82" s="31"/>
      <c r="B82" s="31"/>
      <c r="C82" s="31"/>
      <c r="F82" s="31"/>
      <c r="G82" s="31"/>
      <c r="J82" s="101"/>
      <c r="L82" s="20"/>
      <c r="M82" s="20"/>
      <c r="P82" s="20"/>
    </row>
    <row r="83" spans="1:16" ht="12.75">
      <c r="A83" s="31"/>
      <c r="B83" s="31"/>
      <c r="C83" s="31"/>
      <c r="F83" s="31"/>
      <c r="G83" s="31"/>
      <c r="J83" s="101"/>
      <c r="L83" s="20"/>
      <c r="M83" s="20"/>
      <c r="P83" s="20"/>
    </row>
    <row r="84" spans="1:16" ht="12.75">
      <c r="A84" s="31"/>
      <c r="B84" s="31"/>
      <c r="C84" s="31"/>
      <c r="F84" s="31"/>
      <c r="G84" s="31"/>
      <c r="J84" s="101"/>
      <c r="L84" s="20"/>
      <c r="M84" s="20"/>
      <c r="P84" s="20"/>
    </row>
    <row r="85" spans="1:16" ht="12.75">
      <c r="A85" s="31"/>
      <c r="B85" s="31"/>
      <c r="C85" s="31"/>
      <c r="F85" s="31"/>
      <c r="G85" s="31"/>
      <c r="J85" s="101"/>
      <c r="L85" s="20"/>
      <c r="M85" s="20"/>
      <c r="P85" s="20"/>
    </row>
    <row r="86" spans="1:16" ht="12.75">
      <c r="A86" s="31"/>
      <c r="B86" s="31"/>
      <c r="C86" s="31"/>
      <c r="F86" s="31"/>
      <c r="G86" s="31"/>
      <c r="J86" s="101"/>
      <c r="L86" s="20"/>
      <c r="M86" s="20"/>
      <c r="P86" s="20"/>
    </row>
    <row r="87" spans="1:16" ht="12.75">
      <c r="A87" s="31"/>
      <c r="B87" s="31"/>
      <c r="C87" s="31"/>
      <c r="F87" s="31"/>
      <c r="G87" s="31"/>
      <c r="J87" s="101"/>
      <c r="L87" s="20"/>
      <c r="M87" s="20"/>
      <c r="P87" s="20"/>
    </row>
    <row r="88" spans="1:16" ht="12.75">
      <c r="A88" s="31"/>
      <c r="B88" s="31"/>
      <c r="C88" s="31"/>
      <c r="F88" s="31"/>
      <c r="G88" s="31"/>
      <c r="J88" s="101"/>
      <c r="L88" s="20"/>
      <c r="M88" s="20"/>
      <c r="P88" s="20"/>
    </row>
    <row r="89" spans="1:16" ht="12.75">
      <c r="A89" s="31"/>
      <c r="B89" s="31"/>
      <c r="C89" s="31"/>
      <c r="F89" s="31"/>
      <c r="G89" s="31"/>
      <c r="J89" s="101"/>
      <c r="L89" s="20"/>
      <c r="M89" s="20"/>
      <c r="P89" s="20"/>
    </row>
    <row r="90" spans="1:16" ht="12.75">
      <c r="A90" s="31"/>
      <c r="B90" s="31"/>
      <c r="C90" s="31"/>
      <c r="F90" s="31"/>
      <c r="G90" s="31"/>
      <c r="J90" s="101"/>
      <c r="L90" s="20"/>
      <c r="M90" s="20"/>
      <c r="P90" s="20"/>
    </row>
    <row r="91" spans="1:16" ht="12.75">
      <c r="A91" s="31"/>
      <c r="B91" s="31"/>
      <c r="C91" s="31"/>
      <c r="F91" s="31"/>
      <c r="G91" s="31"/>
      <c r="J91" s="101"/>
      <c r="L91" s="20"/>
      <c r="M91" s="20"/>
      <c r="P91" s="20"/>
    </row>
    <row r="92" spans="1:16" ht="12.75">
      <c r="A92" s="31"/>
      <c r="B92" s="31"/>
      <c r="C92" s="31"/>
      <c r="F92" s="31"/>
      <c r="G92" s="31"/>
      <c r="J92" s="101"/>
      <c r="L92" s="20"/>
      <c r="M92" s="20"/>
      <c r="P92" s="20"/>
    </row>
    <row r="93" spans="1:16" ht="12.75">
      <c r="A93" s="31"/>
      <c r="B93" s="31"/>
      <c r="C93" s="31"/>
      <c r="F93" s="31"/>
      <c r="G93" s="31"/>
      <c r="J93" s="101"/>
      <c r="L93" s="20"/>
      <c r="M93" s="20"/>
      <c r="P93" s="20"/>
    </row>
    <row r="94" spans="1:16" ht="12.75">
      <c r="A94" s="31"/>
      <c r="B94" s="31"/>
      <c r="C94" s="31"/>
      <c r="F94" s="31"/>
      <c r="G94" s="31"/>
      <c r="J94" s="101"/>
      <c r="L94" s="20"/>
      <c r="M94" s="20"/>
      <c r="P94" s="20"/>
    </row>
    <row r="95" spans="1:16" ht="12.75">
      <c r="A95" s="31"/>
      <c r="B95" s="31"/>
      <c r="C95" s="31"/>
      <c r="F95" s="31"/>
      <c r="G95" s="31"/>
      <c r="J95" s="101"/>
      <c r="L95" s="20"/>
      <c r="M95" s="20"/>
      <c r="P95" s="20"/>
    </row>
    <row r="96" spans="1:16" ht="12.75">
      <c r="A96" s="31"/>
      <c r="B96" s="31"/>
      <c r="C96" s="31"/>
      <c r="F96" s="31"/>
      <c r="G96" s="31"/>
      <c r="J96" s="101"/>
      <c r="L96" s="20"/>
      <c r="M96" s="20"/>
      <c r="P96" s="20"/>
    </row>
    <row r="97" spans="1:16" ht="12.75">
      <c r="A97" s="31"/>
      <c r="B97" s="31"/>
      <c r="C97" s="31"/>
      <c r="F97" s="31"/>
      <c r="G97" s="31"/>
      <c r="J97" s="101"/>
      <c r="L97" s="20"/>
      <c r="M97" s="20"/>
      <c r="P97" s="20"/>
    </row>
    <row r="98" spans="1:16" ht="12.75">
      <c r="A98" s="31"/>
      <c r="B98" s="31"/>
      <c r="C98" s="31"/>
      <c r="F98" s="31"/>
      <c r="G98" s="31"/>
      <c r="J98" s="101"/>
      <c r="L98" s="20"/>
      <c r="M98" s="20"/>
      <c r="P98" s="20"/>
    </row>
    <row r="99" spans="1:16" ht="12.75">
      <c r="A99" s="31"/>
      <c r="B99" s="31"/>
      <c r="C99" s="31"/>
      <c r="F99" s="31"/>
      <c r="G99" s="31"/>
      <c r="J99" s="101"/>
      <c r="L99" s="20"/>
      <c r="M99" s="20"/>
      <c r="P99" s="20"/>
    </row>
    <row r="100" spans="1:16" ht="12.75">
      <c r="A100" s="31"/>
      <c r="B100" s="31"/>
      <c r="C100" s="31"/>
      <c r="F100" s="31"/>
      <c r="G100" s="31"/>
      <c r="J100" s="101"/>
      <c r="L100" s="20"/>
      <c r="M100" s="20"/>
      <c r="P100" s="20"/>
    </row>
    <row r="101" spans="1:16" ht="12.75">
      <c r="A101" s="31"/>
      <c r="B101" s="31"/>
      <c r="C101" s="31"/>
      <c r="F101" s="31"/>
      <c r="G101" s="31"/>
      <c r="J101" s="101"/>
      <c r="L101" s="20"/>
      <c r="M101" s="20"/>
      <c r="P101" s="20"/>
    </row>
    <row r="102" spans="1:16" ht="12.75">
      <c r="A102" s="31"/>
      <c r="B102" s="31"/>
      <c r="C102" s="31"/>
      <c r="F102" s="31"/>
      <c r="G102" s="31"/>
      <c r="J102" s="101"/>
      <c r="L102" s="20"/>
      <c r="M102" s="20"/>
      <c r="P102" s="20"/>
    </row>
    <row r="103" spans="1:16" ht="12.75">
      <c r="A103" s="31"/>
      <c r="B103" s="31"/>
      <c r="C103" s="31"/>
      <c r="F103" s="31"/>
      <c r="G103" s="31"/>
      <c r="J103" s="101"/>
      <c r="L103" s="20"/>
      <c r="M103" s="20"/>
      <c r="P103" s="20"/>
    </row>
    <row r="104" spans="1:16" ht="12.75">
      <c r="A104" s="31"/>
      <c r="B104" s="31"/>
      <c r="C104" s="31"/>
      <c r="F104" s="31"/>
      <c r="G104" s="31"/>
      <c r="J104" s="101"/>
      <c r="L104" s="20"/>
      <c r="M104" s="20"/>
      <c r="P104" s="20"/>
    </row>
  </sheetData>
  <sheetProtection/>
  <mergeCells count="2">
    <mergeCell ref="A1:E1"/>
    <mergeCell ref="A2:E2"/>
  </mergeCells>
  <conditionalFormatting sqref="I5:I104">
    <cfRule type="cellIs" priority="1" dxfId="1" operator="equal" stopIfTrue="1">
      <formula>-999</formula>
    </cfRule>
  </conditionalFormatting>
  <conditionalFormatting sqref="A5:A50">
    <cfRule type="cellIs" priority="2" dxfId="0" operator="equal" stopIfTrue="1">
      <formula>"!!!"</formula>
    </cfRule>
  </conditionalFormatting>
  <printOptions/>
  <pageMargins left="0.39" right="0.16" top="0.34" bottom="0.43" header="0.24" footer="0.27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51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7.57421875" style="20" customWidth="1"/>
    <col min="2" max="2" width="10.57421875" style="24" customWidth="1"/>
    <col min="3" max="3" width="2.7109375" style="24" hidden="1" customWidth="1"/>
    <col min="4" max="4" width="8.28125" style="24" hidden="1" customWidth="1"/>
    <col min="5" max="5" width="10.421875" style="24" customWidth="1"/>
    <col min="6" max="6" width="4.421875" style="24" hidden="1" customWidth="1"/>
    <col min="7" max="7" width="10.421875" style="24" customWidth="1"/>
    <col min="8" max="8" width="4.28125" style="24" hidden="1" customWidth="1"/>
    <col min="9" max="9" width="10.421875" style="24" customWidth="1"/>
    <col min="10" max="10" width="4.28125" style="24" hidden="1" customWidth="1"/>
    <col min="11" max="11" width="10.421875" style="24" customWidth="1"/>
    <col min="12" max="12" width="0.13671875" style="24" hidden="1" customWidth="1"/>
    <col min="13" max="13" width="10.421875" style="24" customWidth="1"/>
    <col min="14" max="14" width="3.140625" style="24" hidden="1" customWidth="1"/>
    <col min="15" max="15" width="9.00390625" style="24" customWidth="1"/>
    <col min="16" max="16" width="6.7109375" style="24" hidden="1" customWidth="1"/>
    <col min="17" max="17" width="8.28125" style="24" hidden="1" customWidth="1"/>
    <col min="18" max="18" width="10.421875" style="24" customWidth="1"/>
    <col min="19" max="19" width="7.140625" style="24" hidden="1" customWidth="1"/>
    <col min="20" max="20" width="5.00390625" style="24" hidden="1" customWidth="1"/>
    <col min="21" max="21" width="6.28125" style="20" customWidth="1"/>
    <col min="22" max="22" width="9.8515625" style="20" customWidth="1"/>
    <col min="23" max="23" width="9.140625" style="20" customWidth="1"/>
    <col min="24" max="24" width="3.421875" style="20" hidden="1" customWidth="1"/>
    <col min="25" max="16384" width="9.140625" style="20" customWidth="1"/>
  </cols>
  <sheetData>
    <row r="1" spans="1:30" ht="30.75" customHeight="1" thickBot="1">
      <c r="A1" s="111"/>
      <c r="B1" s="112"/>
      <c r="C1" s="112"/>
      <c r="D1" s="112"/>
      <c r="E1" s="112"/>
      <c r="F1" s="112"/>
      <c r="G1" s="113" t="s">
        <v>73</v>
      </c>
      <c r="H1" s="112"/>
      <c r="I1" s="112"/>
      <c r="J1" s="113"/>
      <c r="K1" s="112"/>
      <c r="L1" s="112"/>
      <c r="M1" s="112"/>
      <c r="N1" s="112"/>
      <c r="O1" s="112"/>
      <c r="P1" s="112"/>
      <c r="Q1" s="112"/>
      <c r="R1" s="112"/>
      <c r="S1" s="111"/>
      <c r="T1" s="112"/>
      <c r="U1" s="111"/>
      <c r="V1" s="241" t="s">
        <v>88</v>
      </c>
      <c r="W1" s="111"/>
      <c r="X1" s="111"/>
      <c r="Y1" s="111"/>
      <c r="Z1" s="111"/>
      <c r="AA1" s="111"/>
      <c r="AB1" s="111"/>
      <c r="AC1" s="111"/>
      <c r="AD1" s="111"/>
    </row>
    <row r="2" spans="1:30" ht="16.5" customHeight="1" thickBot="1">
      <c r="A2" s="29" t="s">
        <v>14</v>
      </c>
      <c r="B2" s="30"/>
      <c r="C2" s="30"/>
      <c r="D2" s="30"/>
      <c r="E2" s="261">
        <v>0</v>
      </c>
      <c r="F2" s="12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>
        <f>Rajtlista!F2</f>
        <v>5</v>
      </c>
      <c r="T2" s="112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3.5" thickBot="1">
      <c r="A3" s="111"/>
      <c r="B3" s="112"/>
      <c r="C3" s="112"/>
      <c r="D3" s="112"/>
      <c r="E3" s="112"/>
      <c r="F3" s="12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3.5" thickBot="1">
      <c r="A4" s="111"/>
      <c r="B4" s="290" t="s">
        <v>0</v>
      </c>
      <c r="C4" s="290" t="s">
        <v>1</v>
      </c>
      <c r="D4" s="290" t="s">
        <v>2</v>
      </c>
      <c r="E4" s="291" t="s">
        <v>8</v>
      </c>
      <c r="F4" s="139"/>
      <c r="G4" s="291" t="s">
        <v>9</v>
      </c>
      <c r="H4" s="139"/>
      <c r="I4" s="291" t="s">
        <v>10</v>
      </c>
      <c r="J4" s="291"/>
      <c r="K4" s="291" t="s">
        <v>11</v>
      </c>
      <c r="L4" s="291"/>
      <c r="M4" s="139" t="s">
        <v>12</v>
      </c>
      <c r="N4" s="291"/>
      <c r="O4" s="290" t="s">
        <v>20</v>
      </c>
      <c r="P4" s="290" t="s">
        <v>0</v>
      </c>
      <c r="Q4" s="163" t="s">
        <v>13</v>
      </c>
      <c r="R4" s="291" t="s">
        <v>21</v>
      </c>
      <c r="S4" s="23" t="s">
        <v>17</v>
      </c>
      <c r="T4" s="25" t="s">
        <v>18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5.75">
      <c r="A5" s="111"/>
      <c r="B5" s="171"/>
      <c r="C5" s="185" t="s">
        <v>92</v>
      </c>
      <c r="D5" s="185" t="s">
        <v>96</v>
      </c>
      <c r="E5" s="284"/>
      <c r="F5" s="284"/>
      <c r="G5" s="284"/>
      <c r="H5" s="284"/>
      <c r="I5" s="286"/>
      <c r="J5" s="284"/>
      <c r="K5" s="284"/>
      <c r="L5" s="284"/>
      <c r="M5" s="284"/>
      <c r="N5" s="292"/>
      <c r="O5" s="292"/>
      <c r="P5" s="171"/>
      <c r="Q5" s="284"/>
      <c r="R5" s="292"/>
      <c r="S5" s="156">
        <f aca="true" t="shared" si="0" ref="S5:S14">MAX(E5,G5,I5,K5,M5)</f>
        <v>0</v>
      </c>
      <c r="T5" s="156">
        <f aca="true" t="shared" si="1" ref="T5:T14">MIN(E5,G5,I5,K5,M5)</f>
        <v>0</v>
      </c>
      <c r="U5" s="111"/>
      <c r="V5" s="111"/>
      <c r="W5" s="111"/>
      <c r="X5" s="111"/>
      <c r="Y5" s="111"/>
      <c r="Z5" s="111"/>
      <c r="AA5" s="111"/>
      <c r="AB5" s="111"/>
      <c r="AC5" s="111"/>
      <c r="AD5" s="111"/>
    </row>
    <row r="6" spans="1:30" ht="15.75">
      <c r="A6" s="111"/>
      <c r="B6" s="186"/>
      <c r="C6" s="187" t="s">
        <v>93</v>
      </c>
      <c r="D6" s="187" t="s">
        <v>96</v>
      </c>
      <c r="E6" s="284"/>
      <c r="F6" s="284"/>
      <c r="G6" s="284"/>
      <c r="H6" s="284"/>
      <c r="I6" s="286"/>
      <c r="J6" s="284"/>
      <c r="K6" s="284"/>
      <c r="L6" s="284"/>
      <c r="M6" s="284"/>
      <c r="N6" s="284"/>
      <c r="O6" s="292"/>
      <c r="P6" s="186"/>
      <c r="Q6" s="284"/>
      <c r="R6" s="292"/>
      <c r="S6" s="156">
        <f t="shared" si="0"/>
        <v>0</v>
      </c>
      <c r="T6" s="156">
        <f t="shared" si="1"/>
        <v>0</v>
      </c>
      <c r="U6" s="111"/>
      <c r="V6" s="111"/>
      <c r="W6" s="111"/>
      <c r="X6" s="111"/>
      <c r="Y6" s="111"/>
      <c r="Z6" s="111"/>
      <c r="AA6" s="111"/>
      <c r="AB6" s="111"/>
      <c r="AC6" s="111"/>
      <c r="AD6" s="111"/>
    </row>
    <row r="7" spans="1:30" ht="15.75">
      <c r="A7" s="111"/>
      <c r="B7" s="186"/>
      <c r="C7" s="187" t="s">
        <v>98</v>
      </c>
      <c r="D7" s="187" t="s">
        <v>98</v>
      </c>
      <c r="E7" s="284"/>
      <c r="F7" s="284"/>
      <c r="G7" s="284"/>
      <c r="H7" s="284"/>
      <c r="I7" s="286"/>
      <c r="J7" s="284"/>
      <c r="K7" s="284"/>
      <c r="L7" s="284"/>
      <c r="M7" s="284"/>
      <c r="N7" s="284"/>
      <c r="O7" s="292"/>
      <c r="P7" s="186"/>
      <c r="Q7" s="284"/>
      <c r="R7" s="292"/>
      <c r="S7" s="156">
        <f t="shared" si="0"/>
        <v>0</v>
      </c>
      <c r="T7" s="156">
        <f t="shared" si="1"/>
        <v>0</v>
      </c>
      <c r="U7" s="111"/>
      <c r="V7" s="111"/>
      <c r="W7" s="111"/>
      <c r="X7" s="111"/>
      <c r="Y7" s="111"/>
      <c r="Z7" s="111"/>
      <c r="AA7" s="111"/>
      <c r="AB7" s="111"/>
      <c r="AC7" s="111"/>
      <c r="AD7" s="111"/>
    </row>
    <row r="8" spans="1:30" ht="15.75">
      <c r="A8" s="111"/>
      <c r="B8" s="186"/>
      <c r="C8" s="187" t="s">
        <v>96</v>
      </c>
      <c r="D8" s="187" t="s">
        <v>96</v>
      </c>
      <c r="E8" s="284"/>
      <c r="F8" s="284"/>
      <c r="G8" s="284"/>
      <c r="H8" s="284"/>
      <c r="I8" s="286"/>
      <c r="J8" s="284"/>
      <c r="K8" s="284"/>
      <c r="L8" s="284"/>
      <c r="M8" s="284"/>
      <c r="N8" s="284"/>
      <c r="O8" s="292"/>
      <c r="P8" s="186"/>
      <c r="Q8" s="284"/>
      <c r="R8" s="292"/>
      <c r="S8" s="156">
        <f t="shared" si="0"/>
        <v>0</v>
      </c>
      <c r="T8" s="156">
        <f t="shared" si="1"/>
        <v>0</v>
      </c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15.75">
      <c r="A9" s="111"/>
      <c r="B9" s="186"/>
      <c r="C9" s="187" t="s">
        <v>95</v>
      </c>
      <c r="D9" s="187" t="s">
        <v>96</v>
      </c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92"/>
      <c r="P9" s="186"/>
      <c r="Q9" s="284"/>
      <c r="R9" s="292"/>
      <c r="S9" s="156">
        <f t="shared" si="0"/>
        <v>0</v>
      </c>
      <c r="T9" s="156">
        <f t="shared" si="1"/>
        <v>0</v>
      </c>
      <c r="U9" s="111"/>
      <c r="V9" s="111"/>
      <c r="W9" s="111"/>
      <c r="X9" s="111"/>
      <c r="Y9" s="111"/>
      <c r="Z9" s="111"/>
      <c r="AA9" s="111"/>
      <c r="AB9" s="111"/>
      <c r="AC9" s="111"/>
      <c r="AD9" s="111"/>
    </row>
    <row r="10" spans="1:30" ht="15.75">
      <c r="A10" s="111"/>
      <c r="B10" s="186"/>
      <c r="C10" s="187" t="s">
        <v>91</v>
      </c>
      <c r="D10" s="187" t="s">
        <v>96</v>
      </c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92"/>
      <c r="P10" s="186"/>
      <c r="Q10" s="284"/>
      <c r="R10" s="292"/>
      <c r="S10" s="156">
        <f t="shared" si="0"/>
        <v>0</v>
      </c>
      <c r="T10" s="156">
        <f t="shared" si="1"/>
        <v>0</v>
      </c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</row>
    <row r="11" spans="1:30" ht="15.75">
      <c r="A11" s="111"/>
      <c r="B11" s="186"/>
      <c r="C11" s="187" t="s">
        <v>94</v>
      </c>
      <c r="D11" s="187" t="s">
        <v>96</v>
      </c>
      <c r="E11" s="292"/>
      <c r="F11" s="292"/>
      <c r="G11" s="292"/>
      <c r="H11" s="292"/>
      <c r="I11" s="293"/>
      <c r="J11" s="292"/>
      <c r="K11" s="292"/>
      <c r="L11" s="292"/>
      <c r="M11" s="292"/>
      <c r="N11" s="284"/>
      <c r="O11" s="292"/>
      <c r="P11" s="186"/>
      <c r="Q11" s="292"/>
      <c r="R11" s="292"/>
      <c r="S11" s="156">
        <f t="shared" si="0"/>
        <v>0</v>
      </c>
      <c r="T11" s="156">
        <f t="shared" si="1"/>
        <v>0</v>
      </c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</row>
    <row r="12" spans="1:30" ht="15.75" customHeight="1">
      <c r="A12" s="111"/>
      <c r="B12" s="186"/>
      <c r="C12" s="187" t="s">
        <v>1</v>
      </c>
      <c r="D12" s="187" t="s">
        <v>97</v>
      </c>
      <c r="E12" s="284"/>
      <c r="F12" s="284"/>
      <c r="G12" s="284"/>
      <c r="H12" s="284"/>
      <c r="I12" s="286"/>
      <c r="J12" s="284"/>
      <c r="K12" s="284"/>
      <c r="L12" s="284"/>
      <c r="M12" s="284"/>
      <c r="N12" s="284"/>
      <c r="O12" s="292"/>
      <c r="P12" s="186"/>
      <c r="Q12" s="284"/>
      <c r="R12" s="292"/>
      <c r="S12" s="156">
        <f t="shared" si="0"/>
        <v>0</v>
      </c>
      <c r="T12" s="156">
        <f t="shared" si="1"/>
        <v>0</v>
      </c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</row>
    <row r="13" spans="1:30" ht="15.75" customHeight="1">
      <c r="A13" s="111"/>
      <c r="B13" s="186"/>
      <c r="C13" s="187"/>
      <c r="D13" s="187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92"/>
      <c r="P13" s="186"/>
      <c r="Q13" s="284"/>
      <c r="R13" s="292"/>
      <c r="S13" s="156">
        <f t="shared" si="0"/>
        <v>0</v>
      </c>
      <c r="T13" s="156">
        <f t="shared" si="1"/>
        <v>0</v>
      </c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</row>
    <row r="14" spans="1:30" ht="15.75" customHeight="1">
      <c r="A14" s="111"/>
      <c r="B14" s="186"/>
      <c r="C14" s="187"/>
      <c r="D14" s="187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92"/>
      <c r="P14" s="186"/>
      <c r="Q14" s="284"/>
      <c r="R14" s="292"/>
      <c r="S14" s="156">
        <f t="shared" si="0"/>
        <v>0</v>
      </c>
      <c r="T14" s="156">
        <f t="shared" si="1"/>
        <v>0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15.75" customHeight="1">
      <c r="A15" s="111"/>
      <c r="B15" s="186"/>
      <c r="C15" s="186"/>
      <c r="D15" s="186"/>
      <c r="E15" s="284"/>
      <c r="F15" s="284"/>
      <c r="G15" s="284"/>
      <c r="H15" s="284"/>
      <c r="I15" s="286"/>
      <c r="J15" s="284"/>
      <c r="K15" s="284"/>
      <c r="L15" s="284"/>
      <c r="M15" s="284"/>
      <c r="N15" s="284"/>
      <c r="O15" s="292"/>
      <c r="P15" s="186"/>
      <c r="Q15" s="284"/>
      <c r="R15" s="292"/>
      <c r="S15" s="156">
        <f aca="true" t="shared" si="2" ref="S15:S20">MAX(E15,G15,I15,K15,M15)</f>
        <v>0</v>
      </c>
      <c r="T15" s="156">
        <f aca="true" t="shared" si="3" ref="T15:T20">MIN(E15,G15,I15,K15,M15)</f>
        <v>0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ht="15.75" customHeight="1">
      <c r="A16" s="111"/>
      <c r="B16" s="186"/>
      <c r="C16" s="186"/>
      <c r="D16" s="186"/>
      <c r="E16" s="284"/>
      <c r="F16" s="284"/>
      <c r="G16" s="284"/>
      <c r="H16" s="284"/>
      <c r="I16" s="286"/>
      <c r="J16" s="284"/>
      <c r="K16" s="284"/>
      <c r="L16" s="284"/>
      <c r="M16" s="284"/>
      <c r="N16" s="284"/>
      <c r="O16" s="292"/>
      <c r="P16" s="186"/>
      <c r="Q16" s="284"/>
      <c r="R16" s="292"/>
      <c r="S16" s="156">
        <f t="shared" si="2"/>
        <v>0</v>
      </c>
      <c r="T16" s="156">
        <f t="shared" si="3"/>
        <v>0</v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15.75" customHeight="1">
      <c r="A17" s="111"/>
      <c r="B17" s="186"/>
      <c r="C17" s="186"/>
      <c r="D17" s="186"/>
      <c r="E17" s="284"/>
      <c r="F17" s="284"/>
      <c r="G17" s="284"/>
      <c r="H17" s="284"/>
      <c r="I17" s="286"/>
      <c r="J17" s="284"/>
      <c r="K17" s="284"/>
      <c r="L17" s="284"/>
      <c r="M17" s="284"/>
      <c r="N17" s="284"/>
      <c r="O17" s="292"/>
      <c r="P17" s="186"/>
      <c r="Q17" s="284"/>
      <c r="R17" s="292"/>
      <c r="S17" s="156">
        <f t="shared" si="2"/>
        <v>0</v>
      </c>
      <c r="T17" s="156">
        <f t="shared" si="3"/>
        <v>0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15.75" customHeight="1">
      <c r="A18" s="111"/>
      <c r="B18" s="186"/>
      <c r="C18" s="186"/>
      <c r="D18" s="186"/>
      <c r="E18" s="284"/>
      <c r="F18" s="284"/>
      <c r="G18" s="284"/>
      <c r="H18" s="284"/>
      <c r="I18" s="286"/>
      <c r="J18" s="284"/>
      <c r="K18" s="284"/>
      <c r="L18" s="284"/>
      <c r="M18" s="284"/>
      <c r="N18" s="284"/>
      <c r="O18" s="292"/>
      <c r="P18" s="186"/>
      <c r="Q18" s="284"/>
      <c r="R18" s="292"/>
      <c r="S18" s="156">
        <f t="shared" si="2"/>
        <v>0</v>
      </c>
      <c r="T18" s="156">
        <f t="shared" si="3"/>
        <v>0</v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15.75" customHeight="1">
      <c r="A19" s="111"/>
      <c r="B19" s="186"/>
      <c r="C19" s="186"/>
      <c r="D19" s="186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92"/>
      <c r="P19" s="186"/>
      <c r="Q19" s="284"/>
      <c r="R19" s="292"/>
      <c r="S19" s="156">
        <f t="shared" si="2"/>
        <v>0</v>
      </c>
      <c r="T19" s="156">
        <f t="shared" si="3"/>
        <v>0</v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15.75" customHeight="1">
      <c r="A20" s="111"/>
      <c r="B20" s="186"/>
      <c r="C20" s="186"/>
      <c r="D20" s="186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92"/>
      <c r="P20" s="186"/>
      <c r="Q20" s="284"/>
      <c r="R20" s="292"/>
      <c r="S20" s="156">
        <f t="shared" si="2"/>
        <v>0</v>
      </c>
      <c r="T20" s="156">
        <f t="shared" si="3"/>
        <v>0</v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15.75" customHeight="1">
      <c r="A21" s="111"/>
      <c r="B21" s="186"/>
      <c r="C21" s="186"/>
      <c r="D21" s="186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92"/>
      <c r="P21" s="186"/>
      <c r="Q21" s="284"/>
      <c r="R21" s="292"/>
      <c r="S21" s="156"/>
      <c r="T21" s="156"/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15.75" customHeight="1">
      <c r="A22" s="111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92"/>
      <c r="P22" s="186"/>
      <c r="Q22" s="284"/>
      <c r="R22" s="292"/>
      <c r="S22" s="26"/>
      <c r="T22" s="26"/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ht="15.75" customHeight="1">
      <c r="A23" s="111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92"/>
      <c r="P23" s="186"/>
      <c r="Q23" s="284"/>
      <c r="R23" s="292"/>
      <c r="S23" s="26"/>
      <c r="T23" s="26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15.75" customHeight="1">
      <c r="A24" s="111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92"/>
      <c r="P24" s="186"/>
      <c r="Q24" s="284"/>
      <c r="R24" s="292"/>
      <c r="S24" s="26"/>
      <c r="T24" s="26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15.75" customHeight="1">
      <c r="A25" s="111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92"/>
      <c r="P25" s="186"/>
      <c r="Q25" s="284"/>
      <c r="R25" s="292"/>
      <c r="S25" s="26"/>
      <c r="T25" s="26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5.75" customHeight="1">
      <c r="A26" s="111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92"/>
      <c r="P26" s="186"/>
      <c r="Q26" s="284"/>
      <c r="R26" s="292"/>
      <c r="S26" s="26"/>
      <c r="T26" s="26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5.75" customHeight="1">
      <c r="A27" s="111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92"/>
      <c r="P27" s="186"/>
      <c r="Q27" s="284"/>
      <c r="R27" s="292"/>
      <c r="S27" s="26"/>
      <c r="T27" s="26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9.75" customHeight="1" hidden="1">
      <c r="A28" s="11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6"/>
      <c r="P28" s="153"/>
      <c r="Q28" s="155"/>
      <c r="R28" s="26"/>
      <c r="S28" s="26"/>
      <c r="T28" s="26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9.75" customHeight="1" hidden="1">
      <c r="A29" s="11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/>
      <c r="P29" s="153"/>
      <c r="Q29" s="155"/>
      <c r="R29" s="26"/>
      <c r="S29" s="26"/>
      <c r="T29" s="26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9.75" customHeight="1" hidden="1">
      <c r="A30" s="1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153"/>
      <c r="Q30" s="155"/>
      <c r="R30" s="26"/>
      <c r="S30" s="26"/>
      <c r="T30" s="26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ht="9.75" customHeight="1" hidden="1">
      <c r="A31" s="11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153"/>
      <c r="Q31" s="155"/>
      <c r="R31" s="26"/>
      <c r="S31" s="26"/>
      <c r="T31" s="26"/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ht="9.75" customHeight="1" hidden="1">
      <c r="A32" s="11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153"/>
      <c r="Q32" s="155"/>
      <c r="R32" s="26"/>
      <c r="S32" s="26"/>
      <c r="T32" s="26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9.75" customHeight="1" hidden="1">
      <c r="A33" s="11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6"/>
      <c r="P33" s="153"/>
      <c r="Q33" s="155"/>
      <c r="R33" s="26"/>
      <c r="S33" s="26"/>
      <c r="T33" s="26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13.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9.75" customHeight="1" hidden="1">
      <c r="A35" s="123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3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9.75" customHeight="1" hidden="1">
      <c r="A36" s="123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3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22:30" ht="9.75" customHeight="1" hidden="1"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5.25" customHeight="1" thickBo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3.5" thickBot="1">
      <c r="A39" s="111"/>
      <c r="B39" s="235" t="s">
        <v>88</v>
      </c>
      <c r="C39" s="112"/>
      <c r="D39" s="112"/>
      <c r="E39" s="236">
        <f>IF(COUNTIF(E5:E33,"&gt;40"),"Hiba","")</f>
      </c>
      <c r="F39" s="236">
        <f aca="true" t="shared" si="4" ref="F39:M39">IF(COUNTIF(F5:F33,"&gt;40"),"Hiba","")</f>
      </c>
      <c r="G39" s="236">
        <f t="shared" si="4"/>
      </c>
      <c r="H39" s="236">
        <f t="shared" si="4"/>
      </c>
      <c r="I39" s="236">
        <f t="shared" si="4"/>
      </c>
      <c r="J39" s="236">
        <f t="shared" si="4"/>
      </c>
      <c r="K39" s="236">
        <f t="shared" si="4"/>
      </c>
      <c r="L39" s="236">
        <f t="shared" si="4"/>
      </c>
      <c r="M39" s="236">
        <f t="shared" si="4"/>
      </c>
      <c r="N39" s="112"/>
      <c r="O39" s="112"/>
      <c r="P39" s="112"/>
      <c r="Q39" s="112"/>
      <c r="R39" s="112"/>
      <c r="S39" s="112"/>
      <c r="T39" s="112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13.5" thickBo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13.5" thickBot="1">
      <c r="A41" s="111"/>
      <c r="B41" s="235" t="s">
        <v>88</v>
      </c>
      <c r="C41" s="112"/>
      <c r="D41" s="112"/>
      <c r="E41" s="236" t="str">
        <f>IF(Rajtlista!F2=COUNT(E5:E33),"","!!!!")</f>
        <v>!!!!</v>
      </c>
      <c r="F41" s="236" t="str">
        <f>IF(Rajtlista!G2=COUNT(F5:F33),"","!!!!")</f>
        <v>!!!!</v>
      </c>
      <c r="G41" s="236" t="str">
        <f>IF(Rajtlista!F2=COUNT(G5:G33),"","!!!!")</f>
        <v>!!!!</v>
      </c>
      <c r="H41" s="236">
        <f>IF(Rajtlista!I2=COUNT(H5:H33),"","!!!!")</f>
      </c>
      <c r="I41" s="236" t="str">
        <f>IF(Rajtlista!F2=COUNT(I5:I33),"","!!!!")</f>
        <v>!!!!</v>
      </c>
      <c r="J41" s="236">
        <f>IF(Rajtlista!K2=COUNT(J5:J33),"","!!!!")</f>
      </c>
      <c r="K41" s="236" t="str">
        <f>IF(Rajtlista!F2=COUNT(K5:K33),"","!!!!")</f>
        <v>!!!!</v>
      </c>
      <c r="L41" s="236">
        <f>IF(Rajtlista!M2=COUNT(L5:L33),"","!!!!")</f>
      </c>
      <c r="M41" s="236" t="str">
        <f>IF(Rajtlista!F2=COUNT(M5:M33),"","!!!!")</f>
        <v>!!!!</v>
      </c>
      <c r="N41" s="112"/>
      <c r="O41" s="112"/>
      <c r="P41" s="112"/>
      <c r="Q41" s="112"/>
      <c r="R41" s="112"/>
      <c r="S41" s="112"/>
      <c r="T41" s="112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ht="12.7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ht="12.7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ht="12.7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ht="12.7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ht="12.7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ht="12.7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ht="12.75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ht="12.75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ht="12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spans="1:30" ht="12.75">
      <c r="A51" s="111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1"/>
      <c r="V51" s="111"/>
      <c r="W51" s="111"/>
      <c r="X51" s="111"/>
      <c r="Y51" s="111"/>
      <c r="Z51" s="111"/>
      <c r="AA51" s="111"/>
      <c r="AB51" s="111"/>
      <c r="AC51" s="111"/>
      <c r="AD51" s="111"/>
    </row>
    <row r="52" ht="12.75"/>
    <row r="54" ht="12.75"/>
    <row r="55" ht="12.75"/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B71"/>
  <sheetViews>
    <sheetView zoomScalePageLayoutView="0" workbookViewId="0" topLeftCell="A1">
      <selection activeCell="V12" sqref="V12"/>
    </sheetView>
  </sheetViews>
  <sheetFormatPr defaultColWidth="9.140625" defaultRowHeight="12.75"/>
  <cols>
    <col min="1" max="1" width="9.140625" style="20" customWidth="1"/>
    <col min="2" max="2" width="4.7109375" style="20" customWidth="1"/>
    <col min="3" max="3" width="1.7109375" style="3" bestFit="1" customWidth="1"/>
    <col min="4" max="4" width="4.7109375" style="20" customWidth="1"/>
    <col min="5" max="5" width="1.7109375" style="3" bestFit="1" customWidth="1"/>
    <col min="6" max="6" width="4.7109375" style="20" customWidth="1"/>
    <col min="7" max="7" width="1.7109375" style="3" bestFit="1" customWidth="1"/>
    <col min="8" max="8" width="4.7109375" style="20" customWidth="1"/>
    <col min="9" max="9" width="1.7109375" style="3" bestFit="1" customWidth="1"/>
    <col min="10" max="10" width="4.7109375" style="20" customWidth="1"/>
    <col min="11" max="11" width="1.7109375" style="3" bestFit="1" customWidth="1"/>
    <col min="12" max="12" width="5.57421875" style="24" bestFit="1" customWidth="1"/>
    <col min="13" max="13" width="8.57421875" style="24" bestFit="1" customWidth="1"/>
    <col min="14" max="14" width="4.8515625" style="20" hidden="1" customWidth="1"/>
    <col min="15" max="15" width="4.7109375" style="20" hidden="1" customWidth="1"/>
    <col min="16" max="16" width="7.7109375" style="20" bestFit="1" customWidth="1"/>
    <col min="17" max="17" width="34.57421875" style="33" customWidth="1"/>
    <col min="18" max="18" width="26.28125" style="31" customWidth="1"/>
    <col min="19" max="19" width="6.00390625" style="20" hidden="1" customWidth="1"/>
    <col min="20" max="20" width="18.421875" style="20" customWidth="1"/>
    <col min="21" max="21" width="9.140625" style="20" hidden="1" customWidth="1"/>
    <col min="22" max="16384" width="9.140625" style="20" customWidth="1"/>
  </cols>
  <sheetData>
    <row r="1" spans="1:28" ht="28.5" customHeight="1" thickBot="1">
      <c r="A1" s="142"/>
      <c r="B1" s="138"/>
      <c r="C1" s="159"/>
      <c r="D1" s="138"/>
      <c r="E1" s="159"/>
      <c r="F1" s="143"/>
      <c r="G1" s="159"/>
      <c r="H1" s="137" t="s">
        <v>71</v>
      </c>
      <c r="I1" s="159"/>
      <c r="J1" s="143"/>
      <c r="K1" s="159"/>
      <c r="L1" s="139"/>
      <c r="M1" s="139"/>
      <c r="N1" s="138"/>
      <c r="O1" s="138"/>
      <c r="P1" s="138"/>
      <c r="Q1" s="140"/>
      <c r="R1" s="141"/>
      <c r="T1" s="256" t="s">
        <v>88</v>
      </c>
      <c r="V1" s="111"/>
      <c r="W1" s="111"/>
      <c r="X1" s="111"/>
      <c r="Y1" s="111"/>
      <c r="Z1" s="111"/>
      <c r="AA1" s="111"/>
      <c r="AB1" s="111"/>
    </row>
    <row r="2" spans="1:28" ht="18.75" customHeight="1" thickBot="1">
      <c r="A2" s="209" t="s">
        <v>23</v>
      </c>
      <c r="B2" s="210"/>
      <c r="C2" s="159"/>
      <c r="D2" s="210" t="str">
        <f>Rajtlista!E1</f>
        <v>Boogie - Woogie</v>
      </c>
      <c r="E2" s="159"/>
      <c r="F2" s="210"/>
      <c r="G2" s="159"/>
      <c r="H2" s="211"/>
      <c r="I2" s="159"/>
      <c r="J2" s="210" t="s">
        <v>14</v>
      </c>
      <c r="K2" s="159"/>
      <c r="L2" s="212"/>
      <c r="M2" s="213"/>
      <c r="N2" s="145"/>
      <c r="O2" s="134"/>
      <c r="P2" s="208">
        <v>0</v>
      </c>
      <c r="Q2" s="227"/>
      <c r="R2" s="228"/>
      <c r="S2" s="134">
        <f>Dont_sors!F2</f>
        <v>5</v>
      </c>
      <c r="T2" s="111"/>
      <c r="V2" s="111"/>
      <c r="W2" s="111"/>
      <c r="X2" s="111"/>
      <c r="Y2" s="111"/>
      <c r="Z2" s="111"/>
      <c r="AA2" s="111"/>
      <c r="AB2" s="111"/>
    </row>
    <row r="3" spans="1:28" ht="16.5" thickBot="1">
      <c r="A3" s="111"/>
      <c r="B3" s="111"/>
      <c r="C3" s="206"/>
      <c r="D3" s="111"/>
      <c r="E3" s="206"/>
      <c r="F3" s="111"/>
      <c r="G3" s="206"/>
      <c r="H3" s="111"/>
      <c r="I3" s="206"/>
      <c r="J3" s="111"/>
      <c r="K3" s="206"/>
      <c r="L3" s="112"/>
      <c r="M3" s="112"/>
      <c r="N3" s="111"/>
      <c r="O3" s="111"/>
      <c r="P3" s="111"/>
      <c r="Q3" s="227"/>
      <c r="R3" s="228"/>
      <c r="S3" s="134"/>
      <c r="T3" s="111"/>
      <c r="V3" s="111"/>
      <c r="W3" s="111"/>
      <c r="X3" s="111"/>
      <c r="Y3" s="111"/>
      <c r="Z3" s="111"/>
      <c r="AA3" s="111"/>
      <c r="AB3" s="111"/>
    </row>
    <row r="4" spans="1:28" ht="16.5" thickBot="1">
      <c r="A4" s="294" t="s">
        <v>0</v>
      </c>
      <c r="B4" s="295" t="s">
        <v>8</v>
      </c>
      <c r="C4" s="271"/>
      <c r="D4" s="295" t="s">
        <v>9</v>
      </c>
      <c r="E4" s="271"/>
      <c r="F4" s="294" t="s">
        <v>10</v>
      </c>
      <c r="G4" s="272"/>
      <c r="H4" s="296" t="s">
        <v>11</v>
      </c>
      <c r="I4" s="272"/>
      <c r="J4" s="296" t="s">
        <v>12</v>
      </c>
      <c r="K4" s="272"/>
      <c r="L4" s="297" t="s">
        <v>19</v>
      </c>
      <c r="M4" s="295" t="s">
        <v>24</v>
      </c>
      <c r="N4" s="298" t="s">
        <v>17</v>
      </c>
      <c r="O4" s="299" t="s">
        <v>18</v>
      </c>
      <c r="P4" s="294" t="s">
        <v>0</v>
      </c>
      <c r="Q4" s="272" t="s">
        <v>1</v>
      </c>
      <c r="R4" s="295" t="s">
        <v>2</v>
      </c>
      <c r="T4" s="111"/>
      <c r="U4" s="20" t="s">
        <v>87</v>
      </c>
      <c r="V4" s="111"/>
      <c r="W4" s="111"/>
      <c r="X4" s="111"/>
      <c r="Y4" s="111"/>
      <c r="Z4" s="111"/>
      <c r="AA4" s="111"/>
      <c r="AB4" s="111"/>
    </row>
    <row r="5" spans="1:28" ht="15.75">
      <c r="A5" s="300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2"/>
      <c r="O5" s="302"/>
      <c r="P5" s="303"/>
      <c r="Q5" s="304"/>
      <c r="R5" s="305"/>
      <c r="T5" s="216">
        <f aca="true" t="shared" si="0" ref="T5:T14">IF(M5&lt;&gt;"",(IF(OR(M5=M4,M5=M6,M5=M7),"Azonos pont !","")),"")</f>
      </c>
      <c r="U5" s="20">
        <f aca="true" t="shared" si="1" ref="U5:U14">SUM(B5,D5,F5,H5,J5)</f>
        <v>0</v>
      </c>
      <c r="V5" s="111"/>
      <c r="W5" s="111"/>
      <c r="X5" s="111"/>
      <c r="Y5" s="111"/>
      <c r="Z5" s="111"/>
      <c r="AA5" s="111"/>
      <c r="AB5" s="111"/>
    </row>
    <row r="6" spans="1:28" ht="15.75">
      <c r="A6" s="186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186"/>
      <c r="Q6" s="187"/>
      <c r="R6" s="187"/>
      <c r="T6" s="216">
        <f t="shared" si="0"/>
      </c>
      <c r="U6" s="20">
        <f t="shared" si="1"/>
        <v>0</v>
      </c>
      <c r="V6" s="111"/>
      <c r="W6" s="111"/>
      <c r="X6" s="111"/>
      <c r="Y6" s="111"/>
      <c r="Z6" s="111"/>
      <c r="AA6" s="111"/>
      <c r="AB6" s="111"/>
    </row>
    <row r="7" spans="1:28" ht="15.75">
      <c r="A7" s="186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/>
      <c r="O7" s="285"/>
      <c r="P7" s="186"/>
      <c r="Q7" s="187"/>
      <c r="R7" s="187"/>
      <c r="T7" s="216">
        <f t="shared" si="0"/>
      </c>
      <c r="U7" s="20">
        <f t="shared" si="1"/>
        <v>0</v>
      </c>
      <c r="V7" s="111"/>
      <c r="W7" s="111"/>
      <c r="X7" s="111"/>
      <c r="Y7" s="111"/>
      <c r="Z7" s="111"/>
      <c r="AA7" s="111"/>
      <c r="AB7" s="111"/>
    </row>
    <row r="8" spans="1:28" ht="15.75">
      <c r="A8" s="186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5"/>
      <c r="O8" s="285"/>
      <c r="P8" s="186"/>
      <c r="Q8" s="187"/>
      <c r="R8" s="187"/>
      <c r="T8" s="216">
        <f t="shared" si="0"/>
      </c>
      <c r="U8" s="20">
        <f t="shared" si="1"/>
        <v>0</v>
      </c>
      <c r="V8" s="111"/>
      <c r="W8" s="111"/>
      <c r="X8" s="111"/>
      <c r="Y8" s="111"/>
      <c r="Z8" s="111"/>
      <c r="AA8" s="111"/>
      <c r="AB8" s="111"/>
    </row>
    <row r="9" spans="1:28" ht="15.75">
      <c r="A9" s="1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285"/>
      <c r="P9" s="186"/>
      <c r="Q9" s="187"/>
      <c r="R9" s="187"/>
      <c r="T9" s="216">
        <f t="shared" si="0"/>
      </c>
      <c r="U9" s="20">
        <f t="shared" si="1"/>
        <v>0</v>
      </c>
      <c r="V9" s="111"/>
      <c r="W9" s="111"/>
      <c r="X9" s="111"/>
      <c r="Y9" s="111"/>
      <c r="Z9" s="111"/>
      <c r="AA9" s="111"/>
      <c r="AB9" s="111"/>
    </row>
    <row r="10" spans="1:28" ht="15.75">
      <c r="A10" s="186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85"/>
      <c r="P10" s="186"/>
      <c r="Q10" s="187"/>
      <c r="R10" s="187"/>
      <c r="T10" s="216">
        <f t="shared" si="0"/>
      </c>
      <c r="U10" s="20">
        <f t="shared" si="1"/>
        <v>0</v>
      </c>
      <c r="V10" s="111"/>
      <c r="W10" s="111"/>
      <c r="X10" s="111"/>
      <c r="Y10" s="111"/>
      <c r="Z10" s="111"/>
      <c r="AA10" s="111"/>
      <c r="AB10" s="111"/>
    </row>
    <row r="11" spans="1:28" ht="15.75">
      <c r="A11" s="186"/>
      <c r="B11" s="292"/>
      <c r="C11" s="292"/>
      <c r="D11" s="292"/>
      <c r="E11" s="292"/>
      <c r="F11" s="293"/>
      <c r="G11" s="292"/>
      <c r="H11" s="292"/>
      <c r="I11" s="292"/>
      <c r="J11" s="292"/>
      <c r="K11" s="284"/>
      <c r="L11" s="284"/>
      <c r="M11" s="284"/>
      <c r="N11" s="285"/>
      <c r="O11" s="285"/>
      <c r="P11" s="186"/>
      <c r="Q11" s="187"/>
      <c r="R11" s="187"/>
      <c r="T11" s="216">
        <f t="shared" si="0"/>
      </c>
      <c r="U11" s="20">
        <f t="shared" si="1"/>
        <v>0</v>
      </c>
      <c r="V11" s="111"/>
      <c r="W11" s="111"/>
      <c r="X11" s="111"/>
      <c r="Y11" s="111"/>
      <c r="Z11" s="111"/>
      <c r="AA11" s="111"/>
      <c r="AB11" s="111"/>
    </row>
    <row r="12" spans="1:28" ht="15.75" customHeight="1">
      <c r="A12" s="186"/>
      <c r="B12" s="284"/>
      <c r="C12" s="284"/>
      <c r="D12" s="284"/>
      <c r="E12" s="284"/>
      <c r="F12" s="286"/>
      <c r="G12" s="284"/>
      <c r="H12" s="284"/>
      <c r="I12" s="284"/>
      <c r="J12" s="284"/>
      <c r="K12" s="284"/>
      <c r="L12" s="284"/>
      <c r="M12" s="284"/>
      <c r="N12" s="285"/>
      <c r="O12" s="285"/>
      <c r="P12" s="186"/>
      <c r="Q12" s="187"/>
      <c r="R12" s="187"/>
      <c r="T12" s="216">
        <f t="shared" si="0"/>
      </c>
      <c r="U12" s="20">
        <f t="shared" si="1"/>
        <v>0</v>
      </c>
      <c r="V12" s="111"/>
      <c r="W12" s="111"/>
      <c r="X12" s="111"/>
      <c r="Y12" s="111"/>
      <c r="Z12" s="111"/>
      <c r="AA12" s="111"/>
      <c r="AB12" s="111"/>
    </row>
    <row r="13" spans="1:28" ht="15.75" customHeight="1">
      <c r="A13" s="186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5"/>
      <c r="O13" s="285"/>
      <c r="P13" s="186"/>
      <c r="Q13" s="187"/>
      <c r="R13" s="187"/>
      <c r="T13" s="216">
        <f t="shared" si="0"/>
      </c>
      <c r="U13" s="20">
        <f t="shared" si="1"/>
        <v>0</v>
      </c>
      <c r="V13" s="111"/>
      <c r="W13" s="111"/>
      <c r="X13" s="111"/>
      <c r="Y13" s="111"/>
      <c r="Z13" s="111"/>
      <c r="AA13" s="111"/>
      <c r="AB13" s="111"/>
    </row>
    <row r="14" spans="1:28" ht="15.75" customHeight="1">
      <c r="A14" s="186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5"/>
      <c r="O14" s="285"/>
      <c r="P14" s="186"/>
      <c r="Q14" s="187"/>
      <c r="R14" s="187"/>
      <c r="T14" s="216">
        <f t="shared" si="0"/>
      </c>
      <c r="U14" s="20">
        <f t="shared" si="1"/>
        <v>0</v>
      </c>
      <c r="V14" s="111"/>
      <c r="W14" s="111"/>
      <c r="X14" s="111"/>
      <c r="Y14" s="111"/>
      <c r="Z14" s="111"/>
      <c r="AA14" s="111"/>
      <c r="AB14" s="111"/>
    </row>
    <row r="15" spans="1:28" ht="15.75" customHeight="1">
      <c r="A15" s="186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5"/>
      <c r="O15" s="285"/>
      <c r="P15" s="186"/>
      <c r="Q15" s="187"/>
      <c r="R15" s="187"/>
      <c r="T15" s="216">
        <f aca="true" t="shared" si="2" ref="T15:T33">IF(M15&lt;&gt;"",(IF(OR(M15=M14,M15=M16,M15=M17),"Azonos pont !","")),"")</f>
      </c>
      <c r="U15" s="20">
        <f aca="true" t="shared" si="3" ref="U15:U33">SUM(B15,D15,F15,H15,J15)</f>
        <v>0</v>
      </c>
      <c r="V15" s="111"/>
      <c r="W15" s="111"/>
      <c r="X15" s="111"/>
      <c r="Y15" s="111"/>
      <c r="Z15" s="111"/>
      <c r="AA15" s="111"/>
      <c r="AB15" s="111"/>
    </row>
    <row r="16" spans="1:28" ht="15.75" customHeight="1">
      <c r="A16" s="186"/>
      <c r="B16" s="284"/>
      <c r="C16" s="284"/>
      <c r="D16" s="284"/>
      <c r="E16" s="284"/>
      <c r="F16" s="286"/>
      <c r="G16" s="284"/>
      <c r="H16" s="284"/>
      <c r="I16" s="284"/>
      <c r="J16" s="284"/>
      <c r="K16" s="284"/>
      <c r="L16" s="284"/>
      <c r="M16" s="284"/>
      <c r="N16" s="285"/>
      <c r="O16" s="285"/>
      <c r="P16" s="186"/>
      <c r="Q16" s="187"/>
      <c r="R16" s="187"/>
      <c r="T16" s="216">
        <f t="shared" si="2"/>
      </c>
      <c r="U16" s="20">
        <f t="shared" si="3"/>
        <v>0</v>
      </c>
      <c r="V16" s="111"/>
      <c r="W16" s="111"/>
      <c r="X16" s="111"/>
      <c r="Y16" s="111"/>
      <c r="Z16" s="111"/>
      <c r="AA16" s="111"/>
      <c r="AB16" s="111"/>
    </row>
    <row r="17" spans="1:28" ht="15.75" customHeight="1">
      <c r="A17" s="186"/>
      <c r="B17" s="284"/>
      <c r="C17" s="284"/>
      <c r="D17" s="284"/>
      <c r="E17" s="284"/>
      <c r="F17" s="286"/>
      <c r="G17" s="284"/>
      <c r="H17" s="284"/>
      <c r="I17" s="284"/>
      <c r="J17" s="284"/>
      <c r="K17" s="284"/>
      <c r="L17" s="284"/>
      <c r="M17" s="284"/>
      <c r="N17" s="285"/>
      <c r="O17" s="285"/>
      <c r="P17" s="186"/>
      <c r="Q17" s="187"/>
      <c r="R17" s="187"/>
      <c r="T17" s="216">
        <f t="shared" si="2"/>
      </c>
      <c r="U17" s="20">
        <f t="shared" si="3"/>
        <v>0</v>
      </c>
      <c r="V17" s="111"/>
      <c r="W17" s="111"/>
      <c r="X17" s="111"/>
      <c r="Y17" s="111"/>
      <c r="Z17" s="111"/>
      <c r="AA17" s="111"/>
      <c r="AB17" s="111"/>
    </row>
    <row r="18" spans="1:28" ht="15.75" customHeight="1">
      <c r="A18" s="186"/>
      <c r="B18" s="284"/>
      <c r="C18" s="284"/>
      <c r="D18" s="284"/>
      <c r="E18" s="284"/>
      <c r="F18" s="286"/>
      <c r="G18" s="284"/>
      <c r="H18" s="284"/>
      <c r="I18" s="284"/>
      <c r="J18" s="284"/>
      <c r="K18" s="284"/>
      <c r="L18" s="284"/>
      <c r="M18" s="284"/>
      <c r="N18" s="285"/>
      <c r="O18" s="285"/>
      <c r="P18" s="186"/>
      <c r="Q18" s="187"/>
      <c r="R18" s="187"/>
      <c r="T18" s="216">
        <f t="shared" si="2"/>
      </c>
      <c r="U18" s="20">
        <f t="shared" si="3"/>
        <v>0</v>
      </c>
      <c r="V18" s="111"/>
      <c r="W18" s="111"/>
      <c r="X18" s="111"/>
      <c r="Y18" s="111"/>
      <c r="Z18" s="111"/>
      <c r="AA18" s="111"/>
      <c r="AB18" s="111"/>
    </row>
    <row r="19" spans="1:28" ht="15.75" customHeight="1">
      <c r="A19" s="186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5"/>
      <c r="O19" s="285"/>
      <c r="P19" s="186"/>
      <c r="Q19" s="187"/>
      <c r="R19" s="187"/>
      <c r="T19" s="216">
        <f t="shared" si="2"/>
      </c>
      <c r="U19" s="20">
        <f t="shared" si="3"/>
        <v>0</v>
      </c>
      <c r="V19" s="111"/>
      <c r="W19" s="111"/>
      <c r="X19" s="111"/>
      <c r="Y19" s="111"/>
      <c r="Z19" s="111"/>
      <c r="AA19" s="111"/>
      <c r="AB19" s="111"/>
    </row>
    <row r="20" spans="1:28" ht="15.75" customHeight="1">
      <c r="A20" s="186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5"/>
      <c r="O20" s="285"/>
      <c r="P20" s="186"/>
      <c r="Q20" s="187"/>
      <c r="R20" s="187"/>
      <c r="T20" s="216">
        <f t="shared" si="2"/>
      </c>
      <c r="U20" s="20">
        <f t="shared" si="3"/>
        <v>0</v>
      </c>
      <c r="V20" s="111"/>
      <c r="W20" s="111"/>
      <c r="X20" s="111"/>
      <c r="Y20" s="111"/>
      <c r="Z20" s="111"/>
      <c r="AA20" s="111"/>
      <c r="AB20" s="111"/>
    </row>
    <row r="21" spans="1:28" ht="15.75" customHeight="1">
      <c r="A21" s="186"/>
      <c r="B21" s="284"/>
      <c r="C21" s="186"/>
      <c r="D21" s="284"/>
      <c r="E21" s="186"/>
      <c r="F21" s="284"/>
      <c r="G21" s="186"/>
      <c r="H21" s="284"/>
      <c r="I21" s="186"/>
      <c r="J21" s="284"/>
      <c r="K21" s="186"/>
      <c r="L21" s="284"/>
      <c r="M21" s="284"/>
      <c r="N21" s="285"/>
      <c r="O21" s="285"/>
      <c r="P21" s="186"/>
      <c r="Q21" s="187"/>
      <c r="R21" s="187"/>
      <c r="T21" s="216">
        <f t="shared" si="2"/>
      </c>
      <c r="U21" s="20">
        <f t="shared" si="3"/>
        <v>0</v>
      </c>
      <c r="V21" s="111"/>
      <c r="W21" s="111"/>
      <c r="X21" s="111"/>
      <c r="Y21" s="111"/>
      <c r="Z21" s="111"/>
      <c r="AA21" s="111"/>
      <c r="AB21" s="111"/>
    </row>
    <row r="22" spans="1:28" ht="15.75" customHeight="1">
      <c r="A22" s="285"/>
      <c r="B22" s="285"/>
      <c r="C22" s="187"/>
      <c r="D22" s="285"/>
      <c r="E22" s="187"/>
      <c r="F22" s="285"/>
      <c r="G22" s="187"/>
      <c r="H22" s="285"/>
      <c r="I22" s="187"/>
      <c r="J22" s="285"/>
      <c r="K22" s="187"/>
      <c r="L22" s="284"/>
      <c r="M22" s="284"/>
      <c r="N22" s="285"/>
      <c r="O22" s="285"/>
      <c r="P22" s="285"/>
      <c r="Q22" s="287"/>
      <c r="R22" s="288"/>
      <c r="T22" s="216">
        <f t="shared" si="2"/>
      </c>
      <c r="U22" s="20">
        <f t="shared" si="3"/>
        <v>0</v>
      </c>
      <c r="V22" s="111"/>
      <c r="W22" s="111"/>
      <c r="X22" s="111"/>
      <c r="Y22" s="111"/>
      <c r="Z22" s="111"/>
      <c r="AA22" s="111"/>
      <c r="AB22" s="111"/>
    </row>
    <row r="23" spans="1:28" ht="15.75" customHeight="1">
      <c r="A23" s="285"/>
      <c r="B23" s="285"/>
      <c r="C23" s="187"/>
      <c r="D23" s="285"/>
      <c r="E23" s="187"/>
      <c r="F23" s="285"/>
      <c r="G23" s="187"/>
      <c r="H23" s="285"/>
      <c r="I23" s="187"/>
      <c r="J23" s="285"/>
      <c r="K23" s="187"/>
      <c r="L23" s="284"/>
      <c r="M23" s="284"/>
      <c r="N23" s="285"/>
      <c r="O23" s="285"/>
      <c r="P23" s="285"/>
      <c r="Q23" s="287"/>
      <c r="R23" s="288"/>
      <c r="T23" s="216">
        <f t="shared" si="2"/>
      </c>
      <c r="U23" s="20">
        <f t="shared" si="3"/>
        <v>0</v>
      </c>
      <c r="V23" s="111"/>
      <c r="W23" s="111"/>
      <c r="X23" s="111"/>
      <c r="Y23" s="111"/>
      <c r="Z23" s="111"/>
      <c r="AA23" s="111"/>
      <c r="AB23" s="111"/>
    </row>
    <row r="24" spans="1:28" ht="15.75" customHeight="1">
      <c r="A24" s="285"/>
      <c r="B24" s="285"/>
      <c r="C24" s="187"/>
      <c r="D24" s="285"/>
      <c r="E24" s="187"/>
      <c r="F24" s="285"/>
      <c r="G24" s="187"/>
      <c r="H24" s="285"/>
      <c r="I24" s="187"/>
      <c r="J24" s="285"/>
      <c r="K24" s="187"/>
      <c r="L24" s="284"/>
      <c r="M24" s="284"/>
      <c r="N24" s="285"/>
      <c r="O24" s="285"/>
      <c r="P24" s="285"/>
      <c r="Q24" s="287"/>
      <c r="R24" s="288"/>
      <c r="T24" s="216">
        <f t="shared" si="2"/>
      </c>
      <c r="U24" s="20">
        <f t="shared" si="3"/>
        <v>0</v>
      </c>
      <c r="V24" s="111"/>
      <c r="W24" s="111"/>
      <c r="X24" s="111"/>
      <c r="Y24" s="111"/>
      <c r="Z24" s="111"/>
      <c r="AA24" s="111"/>
      <c r="AB24" s="111"/>
    </row>
    <row r="25" spans="1:28" ht="15.75" customHeight="1">
      <c r="A25" s="285"/>
      <c r="B25" s="285"/>
      <c r="C25" s="187"/>
      <c r="D25" s="285"/>
      <c r="E25" s="187"/>
      <c r="F25" s="285"/>
      <c r="G25" s="187"/>
      <c r="H25" s="285"/>
      <c r="I25" s="187"/>
      <c r="J25" s="285"/>
      <c r="K25" s="187"/>
      <c r="L25" s="284"/>
      <c r="M25" s="284"/>
      <c r="N25" s="285"/>
      <c r="O25" s="285"/>
      <c r="P25" s="285"/>
      <c r="Q25" s="287"/>
      <c r="R25" s="288"/>
      <c r="T25" s="216">
        <f t="shared" si="2"/>
      </c>
      <c r="U25" s="20">
        <f t="shared" si="3"/>
        <v>0</v>
      </c>
      <c r="V25" s="111"/>
      <c r="W25" s="111"/>
      <c r="X25" s="111"/>
      <c r="Y25" s="111"/>
      <c r="Z25" s="111"/>
      <c r="AA25" s="111"/>
      <c r="AB25" s="111"/>
    </row>
    <row r="26" spans="1:28" ht="15.75" customHeight="1">
      <c r="A26" s="285"/>
      <c r="B26" s="285"/>
      <c r="C26" s="187"/>
      <c r="D26" s="285"/>
      <c r="E26" s="187"/>
      <c r="F26" s="285"/>
      <c r="G26" s="187"/>
      <c r="H26" s="285"/>
      <c r="I26" s="187"/>
      <c r="J26" s="285"/>
      <c r="K26" s="187"/>
      <c r="L26" s="284"/>
      <c r="M26" s="284"/>
      <c r="N26" s="285"/>
      <c r="O26" s="285"/>
      <c r="P26" s="285"/>
      <c r="Q26" s="287"/>
      <c r="R26" s="288"/>
      <c r="T26" s="216">
        <f t="shared" si="2"/>
      </c>
      <c r="U26" s="20">
        <f t="shared" si="3"/>
        <v>0</v>
      </c>
      <c r="V26" s="111"/>
      <c r="W26" s="111"/>
      <c r="X26" s="111"/>
      <c r="Y26" s="111"/>
      <c r="Z26" s="111"/>
      <c r="AA26" s="111"/>
      <c r="AB26" s="111"/>
    </row>
    <row r="27" spans="1:28" ht="15.75" customHeight="1">
      <c r="A27" s="285"/>
      <c r="B27" s="285"/>
      <c r="C27" s="187"/>
      <c r="D27" s="285"/>
      <c r="E27" s="187"/>
      <c r="F27" s="285"/>
      <c r="G27" s="187"/>
      <c r="H27" s="285"/>
      <c r="I27" s="187"/>
      <c r="J27" s="285"/>
      <c r="K27" s="187"/>
      <c r="L27" s="284"/>
      <c r="M27" s="284"/>
      <c r="N27" s="285"/>
      <c r="O27" s="285"/>
      <c r="P27" s="285"/>
      <c r="Q27" s="287"/>
      <c r="R27" s="288"/>
      <c r="T27" s="216">
        <f t="shared" si="2"/>
      </c>
      <c r="U27" s="20">
        <f t="shared" si="3"/>
        <v>0</v>
      </c>
      <c r="V27" s="111"/>
      <c r="W27" s="111"/>
      <c r="X27" s="111"/>
      <c r="Y27" s="111"/>
      <c r="Z27" s="111"/>
      <c r="AA27" s="111"/>
      <c r="AB27" s="111"/>
    </row>
    <row r="28" spans="1:28" ht="15.75" customHeight="1">
      <c r="A28" s="285"/>
      <c r="B28" s="285"/>
      <c r="C28" s="187"/>
      <c r="D28" s="285"/>
      <c r="E28" s="187"/>
      <c r="F28" s="285"/>
      <c r="G28" s="187"/>
      <c r="H28" s="285"/>
      <c r="I28" s="187"/>
      <c r="J28" s="285"/>
      <c r="K28" s="187"/>
      <c r="L28" s="284"/>
      <c r="M28" s="284"/>
      <c r="N28" s="285"/>
      <c r="O28" s="285"/>
      <c r="P28" s="285"/>
      <c r="Q28" s="287"/>
      <c r="R28" s="288"/>
      <c r="T28" s="216">
        <f t="shared" si="2"/>
      </c>
      <c r="U28" s="20">
        <f t="shared" si="3"/>
        <v>0</v>
      </c>
      <c r="V28" s="111"/>
      <c r="W28" s="111"/>
      <c r="X28" s="111"/>
      <c r="Y28" s="111"/>
      <c r="Z28" s="111"/>
      <c r="AA28" s="111"/>
      <c r="AB28" s="111"/>
    </row>
    <row r="29" spans="1:28" ht="15.75" customHeight="1">
      <c r="A29" s="285"/>
      <c r="B29" s="285"/>
      <c r="C29" s="187"/>
      <c r="D29" s="285"/>
      <c r="E29" s="187"/>
      <c r="F29" s="285"/>
      <c r="G29" s="187"/>
      <c r="H29" s="285"/>
      <c r="I29" s="187"/>
      <c r="J29" s="285"/>
      <c r="K29" s="187"/>
      <c r="L29" s="284"/>
      <c r="M29" s="284"/>
      <c r="N29" s="285"/>
      <c r="O29" s="285"/>
      <c r="P29" s="285"/>
      <c r="Q29" s="287"/>
      <c r="R29" s="288"/>
      <c r="T29" s="216">
        <f t="shared" si="2"/>
      </c>
      <c r="U29" s="20">
        <f t="shared" si="3"/>
        <v>0</v>
      </c>
      <c r="V29" s="111"/>
      <c r="W29" s="111"/>
      <c r="X29" s="111"/>
      <c r="Y29" s="111"/>
      <c r="Z29" s="111"/>
      <c r="AA29" s="111"/>
      <c r="AB29" s="111"/>
    </row>
    <row r="30" spans="1:28" ht="15.75" customHeight="1">
      <c r="A30" s="285"/>
      <c r="B30" s="285"/>
      <c r="C30" s="187"/>
      <c r="D30" s="285"/>
      <c r="E30" s="187"/>
      <c r="F30" s="285"/>
      <c r="G30" s="187"/>
      <c r="H30" s="285"/>
      <c r="I30" s="187"/>
      <c r="J30" s="285"/>
      <c r="K30" s="187"/>
      <c r="L30" s="284"/>
      <c r="M30" s="284"/>
      <c r="N30" s="285"/>
      <c r="O30" s="285"/>
      <c r="P30" s="285"/>
      <c r="Q30" s="287"/>
      <c r="R30" s="288"/>
      <c r="T30" s="216">
        <f t="shared" si="2"/>
      </c>
      <c r="U30" s="20">
        <f t="shared" si="3"/>
        <v>0</v>
      </c>
      <c r="V30" s="111"/>
      <c r="W30" s="111"/>
      <c r="X30" s="111"/>
      <c r="Y30" s="111"/>
      <c r="Z30" s="111"/>
      <c r="AA30" s="111"/>
      <c r="AB30" s="111"/>
    </row>
    <row r="31" spans="1:28" ht="15.75" customHeight="1">
      <c r="A31" s="285"/>
      <c r="B31" s="285"/>
      <c r="C31" s="187"/>
      <c r="D31" s="285"/>
      <c r="E31" s="187"/>
      <c r="F31" s="285"/>
      <c r="G31" s="187"/>
      <c r="H31" s="285"/>
      <c r="I31" s="187"/>
      <c r="J31" s="285"/>
      <c r="K31" s="187"/>
      <c r="L31" s="284"/>
      <c r="M31" s="284"/>
      <c r="N31" s="285"/>
      <c r="O31" s="285"/>
      <c r="P31" s="285"/>
      <c r="Q31" s="287"/>
      <c r="R31" s="288"/>
      <c r="T31" s="216">
        <f t="shared" si="2"/>
      </c>
      <c r="U31" s="20">
        <f t="shared" si="3"/>
        <v>0</v>
      </c>
      <c r="V31" s="111"/>
      <c r="W31" s="111"/>
      <c r="X31" s="111"/>
      <c r="Y31" s="111"/>
      <c r="Z31" s="111"/>
      <c r="AA31" s="111"/>
      <c r="AB31" s="111"/>
    </row>
    <row r="32" spans="1:28" ht="15.75" customHeight="1">
      <c r="A32" s="285"/>
      <c r="B32" s="285"/>
      <c r="C32" s="187"/>
      <c r="D32" s="285"/>
      <c r="E32" s="187"/>
      <c r="F32" s="285"/>
      <c r="G32" s="187"/>
      <c r="H32" s="285"/>
      <c r="I32" s="187"/>
      <c r="J32" s="285"/>
      <c r="K32" s="187"/>
      <c r="L32" s="284"/>
      <c r="M32" s="284"/>
      <c r="N32" s="285"/>
      <c r="O32" s="285"/>
      <c r="P32" s="285"/>
      <c r="Q32" s="287"/>
      <c r="R32" s="288"/>
      <c r="T32" s="216">
        <f t="shared" si="2"/>
      </c>
      <c r="U32" s="20">
        <f t="shared" si="3"/>
        <v>0</v>
      </c>
      <c r="V32" s="111"/>
      <c r="W32" s="111"/>
      <c r="X32" s="111"/>
      <c r="Y32" s="111"/>
      <c r="Z32" s="111"/>
      <c r="AA32" s="111"/>
      <c r="AB32" s="111"/>
    </row>
    <row r="33" spans="1:28" ht="16.5" customHeight="1">
      <c r="A33" s="285"/>
      <c r="B33" s="285"/>
      <c r="C33" s="187"/>
      <c r="D33" s="285"/>
      <c r="E33" s="187"/>
      <c r="F33" s="285"/>
      <c r="G33" s="187"/>
      <c r="H33" s="285"/>
      <c r="I33" s="187"/>
      <c r="J33" s="285"/>
      <c r="K33" s="187"/>
      <c r="L33" s="284"/>
      <c r="M33" s="284"/>
      <c r="N33" s="285"/>
      <c r="O33" s="285"/>
      <c r="P33" s="285"/>
      <c r="Q33" s="287"/>
      <c r="R33" s="288"/>
      <c r="T33" s="216">
        <f t="shared" si="2"/>
      </c>
      <c r="U33" s="111">
        <f t="shared" si="3"/>
        <v>0</v>
      </c>
      <c r="V33" s="111"/>
      <c r="W33" s="111"/>
      <c r="X33" s="111"/>
      <c r="Y33" s="111"/>
      <c r="Z33" s="111"/>
      <c r="AA33" s="111"/>
      <c r="AB33" s="111"/>
    </row>
    <row r="34" spans="1:28" ht="15.75">
      <c r="A34" s="285"/>
      <c r="B34" s="285"/>
      <c r="C34" s="187"/>
      <c r="D34" s="285"/>
      <c r="E34" s="187"/>
      <c r="F34" s="285"/>
      <c r="G34" s="187"/>
      <c r="H34" s="285"/>
      <c r="I34" s="187"/>
      <c r="J34" s="285"/>
      <c r="K34" s="187"/>
      <c r="L34" s="284"/>
      <c r="M34" s="284"/>
      <c r="N34" s="285"/>
      <c r="O34" s="285"/>
      <c r="P34" s="285"/>
      <c r="Q34" s="287"/>
      <c r="R34" s="288"/>
      <c r="S34" s="134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1:28" ht="15.75">
      <c r="A35" s="285"/>
      <c r="B35" s="285"/>
      <c r="C35" s="187"/>
      <c r="D35" s="285"/>
      <c r="E35" s="187"/>
      <c r="F35" s="285"/>
      <c r="G35" s="187"/>
      <c r="H35" s="285"/>
      <c r="I35" s="187"/>
      <c r="J35" s="285"/>
      <c r="K35" s="187"/>
      <c r="L35" s="284"/>
      <c r="M35" s="284"/>
      <c r="N35" s="285"/>
      <c r="O35" s="285"/>
      <c r="P35" s="285"/>
      <c r="Q35" s="287"/>
      <c r="R35" s="288"/>
      <c r="S35" s="134"/>
      <c r="T35" s="111"/>
      <c r="U35" s="111"/>
      <c r="V35" s="111"/>
      <c r="W35" s="111"/>
      <c r="X35" s="111"/>
      <c r="Y35" s="111"/>
      <c r="Z35" s="111"/>
      <c r="AA35" s="111"/>
      <c r="AB35" s="111"/>
    </row>
    <row r="36" spans="1:28" ht="15.75">
      <c r="A36" s="285"/>
      <c r="B36" s="285"/>
      <c r="C36" s="187"/>
      <c r="D36" s="285"/>
      <c r="E36" s="187"/>
      <c r="F36" s="285"/>
      <c r="G36" s="187"/>
      <c r="H36" s="285"/>
      <c r="I36" s="187"/>
      <c r="J36" s="285"/>
      <c r="K36" s="187"/>
      <c r="L36" s="284"/>
      <c r="M36" s="284"/>
      <c r="N36" s="285"/>
      <c r="O36" s="285"/>
      <c r="P36" s="285"/>
      <c r="Q36" s="287"/>
      <c r="R36" s="288"/>
      <c r="S36" s="134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1:28" ht="15.75">
      <c r="A37" s="285"/>
      <c r="B37" s="285"/>
      <c r="C37" s="187"/>
      <c r="D37" s="285"/>
      <c r="E37" s="187"/>
      <c r="F37" s="285"/>
      <c r="G37" s="187"/>
      <c r="H37" s="285"/>
      <c r="I37" s="187"/>
      <c r="J37" s="285"/>
      <c r="K37" s="187"/>
      <c r="L37" s="284"/>
      <c r="M37" s="284"/>
      <c r="N37" s="285"/>
      <c r="O37" s="285"/>
      <c r="P37" s="285"/>
      <c r="Q37" s="287"/>
      <c r="R37" s="288"/>
      <c r="T37" s="111"/>
      <c r="U37" s="111"/>
      <c r="V37" s="111"/>
      <c r="W37" s="111"/>
      <c r="X37" s="111"/>
      <c r="Y37" s="111"/>
      <c r="Z37" s="111"/>
      <c r="AA37" s="111"/>
      <c r="AB37" s="111"/>
    </row>
    <row r="38" spans="1:28" ht="15.75">
      <c r="A38" s="285"/>
      <c r="B38" s="285"/>
      <c r="C38" s="187"/>
      <c r="D38" s="285"/>
      <c r="E38" s="187"/>
      <c r="F38" s="285"/>
      <c r="G38" s="187"/>
      <c r="H38" s="285"/>
      <c r="I38" s="187"/>
      <c r="J38" s="285"/>
      <c r="K38" s="187"/>
      <c r="L38" s="284"/>
      <c r="M38" s="284"/>
      <c r="N38" s="285"/>
      <c r="O38" s="285"/>
      <c r="P38" s="285"/>
      <c r="Q38" s="287"/>
      <c r="R38" s="288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1:28" ht="15.75">
      <c r="A39" s="285"/>
      <c r="B39" s="285"/>
      <c r="C39" s="187"/>
      <c r="D39" s="285"/>
      <c r="E39" s="187"/>
      <c r="F39" s="285"/>
      <c r="G39" s="187"/>
      <c r="H39" s="285"/>
      <c r="I39" s="187"/>
      <c r="J39" s="285"/>
      <c r="K39" s="187"/>
      <c r="L39" s="284"/>
      <c r="M39" s="284"/>
      <c r="N39" s="285"/>
      <c r="O39" s="285"/>
      <c r="P39" s="285"/>
      <c r="Q39" s="287"/>
      <c r="R39" s="288"/>
      <c r="T39" s="111"/>
      <c r="U39" s="111"/>
      <c r="V39" s="111"/>
      <c r="W39" s="111"/>
      <c r="X39" s="111"/>
      <c r="Y39" s="111"/>
      <c r="Z39" s="111"/>
      <c r="AA39" s="111"/>
      <c r="AB39" s="111"/>
    </row>
    <row r="40" spans="1:28" ht="15.75">
      <c r="A40" s="285"/>
      <c r="B40" s="285"/>
      <c r="C40" s="187"/>
      <c r="D40" s="285"/>
      <c r="E40" s="187"/>
      <c r="F40" s="285"/>
      <c r="G40" s="187"/>
      <c r="H40" s="285"/>
      <c r="I40" s="187"/>
      <c r="J40" s="285"/>
      <c r="K40" s="187"/>
      <c r="L40" s="284"/>
      <c r="M40" s="284"/>
      <c r="N40" s="285"/>
      <c r="O40" s="285"/>
      <c r="P40" s="285"/>
      <c r="Q40" s="287"/>
      <c r="R40" s="288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1:28" ht="15.75">
      <c r="A41" s="285"/>
      <c r="B41" s="285"/>
      <c r="C41" s="187"/>
      <c r="D41" s="285"/>
      <c r="E41" s="187"/>
      <c r="F41" s="285"/>
      <c r="G41" s="187"/>
      <c r="H41" s="285"/>
      <c r="I41" s="187"/>
      <c r="J41" s="285"/>
      <c r="K41" s="187"/>
      <c r="L41" s="284"/>
      <c r="M41" s="284"/>
      <c r="N41" s="285"/>
      <c r="O41" s="285"/>
      <c r="P41" s="285"/>
      <c r="Q41" s="287"/>
      <c r="R41" s="288"/>
      <c r="T41" s="111"/>
      <c r="U41" s="111"/>
      <c r="V41" s="111"/>
      <c r="W41" s="111"/>
      <c r="X41" s="111"/>
      <c r="Y41" s="111"/>
      <c r="Z41" s="111"/>
      <c r="AA41" s="111"/>
      <c r="AB41" s="111"/>
    </row>
    <row r="42" spans="1:28" ht="15.75">
      <c r="A42" s="285"/>
      <c r="B42" s="285"/>
      <c r="C42" s="187"/>
      <c r="D42" s="285"/>
      <c r="E42" s="187"/>
      <c r="F42" s="285"/>
      <c r="G42" s="187"/>
      <c r="H42" s="285"/>
      <c r="I42" s="187"/>
      <c r="J42" s="285"/>
      <c r="K42" s="187"/>
      <c r="L42" s="284"/>
      <c r="M42" s="284"/>
      <c r="N42" s="285"/>
      <c r="O42" s="285"/>
      <c r="P42" s="285"/>
      <c r="Q42" s="287"/>
      <c r="R42" s="288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1:28" ht="15.75">
      <c r="A43" s="285"/>
      <c r="B43" s="285"/>
      <c r="C43" s="187"/>
      <c r="D43" s="285"/>
      <c r="E43" s="187"/>
      <c r="F43" s="285"/>
      <c r="G43" s="187"/>
      <c r="H43" s="285"/>
      <c r="I43" s="187"/>
      <c r="J43" s="285"/>
      <c r="K43" s="187"/>
      <c r="L43" s="284"/>
      <c r="M43" s="284"/>
      <c r="N43" s="285"/>
      <c r="O43" s="285"/>
      <c r="P43" s="285"/>
      <c r="Q43" s="287"/>
      <c r="R43" s="288"/>
      <c r="T43" s="111"/>
      <c r="U43" s="111"/>
      <c r="V43" s="111"/>
      <c r="W43" s="111"/>
      <c r="X43" s="111"/>
      <c r="Y43" s="111"/>
      <c r="Z43" s="111"/>
      <c r="AA43" s="111"/>
      <c r="AB43" s="111"/>
    </row>
    <row r="44" spans="1:28" ht="15.75">
      <c r="A44" s="285"/>
      <c r="B44" s="285"/>
      <c r="C44" s="187"/>
      <c r="D44" s="285"/>
      <c r="E44" s="187"/>
      <c r="F44" s="285"/>
      <c r="G44" s="187"/>
      <c r="H44" s="285"/>
      <c r="I44" s="187"/>
      <c r="J44" s="285"/>
      <c r="K44" s="187"/>
      <c r="L44" s="284"/>
      <c r="M44" s="284"/>
      <c r="N44" s="285"/>
      <c r="O44" s="285"/>
      <c r="P44" s="285"/>
      <c r="Q44" s="287"/>
      <c r="R44" s="288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1:28" ht="15.75">
      <c r="A45" s="285"/>
      <c r="B45" s="285"/>
      <c r="C45" s="187"/>
      <c r="D45" s="285"/>
      <c r="E45" s="187"/>
      <c r="F45" s="285"/>
      <c r="G45" s="187"/>
      <c r="H45" s="285"/>
      <c r="I45" s="187"/>
      <c r="J45" s="285"/>
      <c r="K45" s="187"/>
      <c r="L45" s="284"/>
      <c r="M45" s="284"/>
      <c r="N45" s="285"/>
      <c r="O45" s="285"/>
      <c r="P45" s="285"/>
      <c r="Q45" s="287"/>
      <c r="R45" s="288"/>
      <c r="T45" s="111"/>
      <c r="U45" s="111"/>
      <c r="V45" s="111"/>
      <c r="W45" s="111"/>
      <c r="X45" s="111"/>
      <c r="Y45" s="111"/>
      <c r="Z45" s="111"/>
      <c r="AA45" s="111"/>
      <c r="AB45" s="111"/>
    </row>
    <row r="46" spans="1:28" ht="15.75">
      <c r="A46" s="285"/>
      <c r="B46" s="285"/>
      <c r="C46" s="187"/>
      <c r="D46" s="285"/>
      <c r="E46" s="187"/>
      <c r="F46" s="285"/>
      <c r="G46" s="187"/>
      <c r="H46" s="285"/>
      <c r="I46" s="187"/>
      <c r="J46" s="285"/>
      <c r="K46" s="187"/>
      <c r="L46" s="284"/>
      <c r="M46" s="284"/>
      <c r="N46" s="285"/>
      <c r="O46" s="285"/>
      <c r="P46" s="285"/>
      <c r="Q46" s="287"/>
      <c r="R46" s="288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1:28" ht="15.75">
      <c r="A47" s="285"/>
      <c r="B47" s="285"/>
      <c r="C47" s="187"/>
      <c r="D47" s="285"/>
      <c r="E47" s="187"/>
      <c r="F47" s="285"/>
      <c r="G47" s="187"/>
      <c r="H47" s="285"/>
      <c r="I47" s="187"/>
      <c r="J47" s="285"/>
      <c r="K47" s="187"/>
      <c r="L47" s="284"/>
      <c r="M47" s="284"/>
      <c r="N47" s="285"/>
      <c r="O47" s="285"/>
      <c r="P47" s="285"/>
      <c r="Q47" s="287"/>
      <c r="R47" s="288"/>
      <c r="T47" s="111"/>
      <c r="U47" s="111"/>
      <c r="V47" s="111"/>
      <c r="W47" s="111"/>
      <c r="X47" s="111"/>
      <c r="Y47" s="111"/>
      <c r="Z47" s="111"/>
      <c r="AA47" s="111"/>
      <c r="AB47" s="111"/>
    </row>
    <row r="48" spans="1:28" ht="15.75">
      <c r="A48" s="285"/>
      <c r="B48" s="285"/>
      <c r="C48" s="187"/>
      <c r="D48" s="285"/>
      <c r="E48" s="187"/>
      <c r="F48" s="285"/>
      <c r="G48" s="187"/>
      <c r="H48" s="285"/>
      <c r="I48" s="187"/>
      <c r="J48" s="285"/>
      <c r="K48" s="187"/>
      <c r="L48" s="284"/>
      <c r="M48" s="284"/>
      <c r="N48" s="285"/>
      <c r="O48" s="285"/>
      <c r="P48" s="285"/>
      <c r="Q48" s="287"/>
      <c r="R48" s="288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1:28" ht="15.75">
      <c r="A49" s="285"/>
      <c r="B49" s="285"/>
      <c r="C49" s="187"/>
      <c r="D49" s="285"/>
      <c r="E49" s="187"/>
      <c r="F49" s="285"/>
      <c r="G49" s="187"/>
      <c r="H49" s="285"/>
      <c r="I49" s="187"/>
      <c r="J49" s="285"/>
      <c r="K49" s="187"/>
      <c r="L49" s="284"/>
      <c r="M49" s="284"/>
      <c r="N49" s="285"/>
      <c r="O49" s="285"/>
      <c r="P49" s="285"/>
      <c r="Q49" s="287"/>
      <c r="R49" s="288"/>
      <c r="T49" s="111"/>
      <c r="U49" s="111"/>
      <c r="V49" s="111"/>
      <c r="W49" s="111"/>
      <c r="X49" s="111"/>
      <c r="Y49" s="111"/>
      <c r="Z49" s="111"/>
      <c r="AA49" s="111"/>
      <c r="AB49" s="111"/>
    </row>
    <row r="50" spans="1:28" ht="15.75">
      <c r="A50" s="285"/>
      <c r="B50" s="285"/>
      <c r="C50" s="187"/>
      <c r="D50" s="285"/>
      <c r="E50" s="187"/>
      <c r="F50" s="285"/>
      <c r="G50" s="187"/>
      <c r="H50" s="285"/>
      <c r="I50" s="187"/>
      <c r="J50" s="285"/>
      <c r="K50" s="187"/>
      <c r="L50" s="284"/>
      <c r="M50" s="284"/>
      <c r="N50" s="285"/>
      <c r="O50" s="285"/>
      <c r="P50" s="285"/>
      <c r="Q50" s="287"/>
      <c r="R50" s="288"/>
      <c r="T50" s="111"/>
      <c r="U50" s="111"/>
      <c r="V50" s="111"/>
      <c r="W50" s="111"/>
      <c r="X50" s="111"/>
      <c r="Y50" s="111"/>
      <c r="Z50" s="111"/>
      <c r="AA50" s="111"/>
      <c r="AB50" s="111"/>
    </row>
    <row r="51" spans="4:28" ht="15.75">
      <c r="D51" s="111"/>
      <c r="E51" s="206"/>
      <c r="F51" s="111"/>
      <c r="G51" s="206"/>
      <c r="H51" s="111"/>
      <c r="I51" s="206"/>
      <c r="J51" s="111"/>
      <c r="K51" s="206"/>
      <c r="L51" s="112"/>
      <c r="M51" s="112"/>
      <c r="N51" s="111"/>
      <c r="O51" s="111"/>
      <c r="P51" s="111"/>
      <c r="Q51" s="227"/>
      <c r="R51" s="228"/>
      <c r="S51" s="111"/>
      <c r="T51" s="111"/>
      <c r="U51" s="111"/>
      <c r="V51" s="111"/>
      <c r="W51" s="111"/>
      <c r="X51" s="111"/>
      <c r="Y51" s="111"/>
      <c r="Z51" s="111"/>
      <c r="AA51" s="111"/>
      <c r="AB51" s="111"/>
    </row>
    <row r="52" spans="4:28" ht="15.75">
      <c r="D52" s="111"/>
      <c r="E52" s="206"/>
      <c r="F52" s="111"/>
      <c r="G52" s="206"/>
      <c r="H52" s="111"/>
      <c r="I52" s="206"/>
      <c r="J52" s="111"/>
      <c r="K52" s="206"/>
      <c r="L52" s="112"/>
      <c r="M52" s="112"/>
      <c r="N52" s="111"/>
      <c r="O52" s="111"/>
      <c r="P52" s="111"/>
      <c r="Q52" s="227"/>
      <c r="R52" s="228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4:28" ht="15.75">
      <c r="D53" s="111"/>
      <c r="E53" s="206"/>
      <c r="F53" s="111"/>
      <c r="G53" s="206"/>
      <c r="H53" s="111"/>
      <c r="I53" s="206"/>
      <c r="J53" s="111"/>
      <c r="K53" s="206"/>
      <c r="L53" s="112"/>
      <c r="M53" s="112"/>
      <c r="N53" s="111"/>
      <c r="O53" s="111"/>
      <c r="P53" s="111"/>
      <c r="Q53" s="227"/>
      <c r="R53" s="228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</row>
    <row r="54" spans="4:28" ht="15.75">
      <c r="D54" s="111"/>
      <c r="E54" s="206"/>
      <c r="F54" s="111"/>
      <c r="G54" s="206"/>
      <c r="H54" s="111"/>
      <c r="I54" s="206"/>
      <c r="J54" s="111"/>
      <c r="K54" s="206"/>
      <c r="L54" s="112"/>
      <c r="M54" s="112"/>
      <c r="N54" s="111"/>
      <c r="O54" s="111"/>
      <c r="P54" s="111"/>
      <c r="Q54" s="227"/>
      <c r="R54" s="228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4:28" ht="15.75">
      <c r="D55" s="111"/>
      <c r="E55" s="206"/>
      <c r="F55" s="111"/>
      <c r="G55" s="206"/>
      <c r="H55" s="111"/>
      <c r="I55" s="206"/>
      <c r="J55" s="111"/>
      <c r="K55" s="206"/>
      <c r="L55" s="112"/>
      <c r="M55" s="112"/>
      <c r="N55" s="111"/>
      <c r="O55" s="111"/>
      <c r="P55" s="111"/>
      <c r="Q55" s="227"/>
      <c r="R55" s="228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</row>
    <row r="56" spans="4:28" ht="15.75">
      <c r="D56" s="111"/>
      <c r="E56" s="206"/>
      <c r="F56" s="111"/>
      <c r="G56" s="206"/>
      <c r="H56" s="111"/>
      <c r="I56" s="206"/>
      <c r="J56" s="111"/>
      <c r="K56" s="206"/>
      <c r="L56" s="112"/>
      <c r="M56" s="112"/>
      <c r="N56" s="111"/>
      <c r="O56" s="111"/>
      <c r="P56" s="111"/>
      <c r="Q56" s="227"/>
      <c r="R56" s="228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4:28" ht="15.75">
      <c r="D57" s="111"/>
      <c r="E57" s="206"/>
      <c r="F57" s="111"/>
      <c r="G57" s="206"/>
      <c r="H57" s="111"/>
      <c r="I57" s="206"/>
      <c r="J57" s="111"/>
      <c r="K57" s="206"/>
      <c r="L57" s="112"/>
      <c r="M57" s="112"/>
      <c r="N57" s="111"/>
      <c r="O57" s="111"/>
      <c r="P57" s="111"/>
      <c r="Q57" s="227"/>
      <c r="R57" s="228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</row>
    <row r="58" spans="4:28" ht="15.75">
      <c r="D58" s="111"/>
      <c r="E58" s="206"/>
      <c r="F58" s="111"/>
      <c r="G58" s="206"/>
      <c r="H58" s="111"/>
      <c r="I58" s="206"/>
      <c r="J58" s="111"/>
      <c r="K58" s="206"/>
      <c r="L58" s="112"/>
      <c r="M58" s="112"/>
      <c r="N58" s="111"/>
      <c r="O58" s="111"/>
      <c r="P58" s="111"/>
      <c r="Q58" s="227"/>
      <c r="R58" s="228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4:28" ht="15.75">
      <c r="D59" s="111"/>
      <c r="E59" s="206"/>
      <c r="F59" s="111"/>
      <c r="G59" s="206"/>
      <c r="H59" s="111"/>
      <c r="I59" s="206"/>
      <c r="J59" s="111"/>
      <c r="K59" s="206"/>
      <c r="L59" s="112"/>
      <c r="M59" s="112"/>
      <c r="N59" s="111"/>
      <c r="O59" s="111"/>
      <c r="P59" s="111"/>
      <c r="Q59" s="227"/>
      <c r="R59" s="228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</row>
    <row r="60" spans="4:28" ht="15.75">
      <c r="D60" s="111"/>
      <c r="E60" s="206"/>
      <c r="F60" s="111"/>
      <c r="G60" s="206"/>
      <c r="H60" s="111"/>
      <c r="I60" s="206"/>
      <c r="J60" s="111"/>
      <c r="K60" s="206"/>
      <c r="L60" s="112"/>
      <c r="M60" s="112"/>
      <c r="N60" s="111"/>
      <c r="O60" s="111"/>
      <c r="P60" s="111"/>
      <c r="Q60" s="227"/>
      <c r="R60" s="228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4:28" ht="15.75">
      <c r="D61" s="111"/>
      <c r="E61" s="206"/>
      <c r="F61" s="111"/>
      <c r="G61" s="206"/>
      <c r="H61" s="111"/>
      <c r="I61" s="206"/>
      <c r="J61" s="111"/>
      <c r="K61" s="206"/>
      <c r="L61" s="112"/>
      <c r="M61" s="112"/>
      <c r="N61" s="111"/>
      <c r="O61" s="111"/>
      <c r="P61" s="111"/>
      <c r="Q61" s="227"/>
      <c r="R61" s="228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</row>
    <row r="62" spans="4:28" ht="15.75">
      <c r="D62" s="111"/>
      <c r="E62" s="206"/>
      <c r="F62" s="111"/>
      <c r="G62" s="206"/>
      <c r="H62" s="111"/>
      <c r="I62" s="206"/>
      <c r="J62" s="111"/>
      <c r="K62" s="206"/>
      <c r="L62" s="112"/>
      <c r="M62" s="112"/>
      <c r="N62" s="111"/>
      <c r="O62" s="111"/>
      <c r="P62" s="111"/>
      <c r="Q62" s="227"/>
      <c r="R62" s="228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4:28" ht="15.75">
      <c r="D63" s="111"/>
      <c r="E63" s="206"/>
      <c r="F63" s="111"/>
      <c r="G63" s="206"/>
      <c r="H63" s="111"/>
      <c r="I63" s="206"/>
      <c r="J63" s="111"/>
      <c r="K63" s="206"/>
      <c r="L63" s="112"/>
      <c r="M63" s="112"/>
      <c r="N63" s="111"/>
      <c r="O63" s="111"/>
      <c r="P63" s="111"/>
      <c r="Q63" s="227"/>
      <c r="R63" s="228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</row>
    <row r="64" spans="4:28" ht="15.75">
      <c r="D64" s="111"/>
      <c r="E64" s="206"/>
      <c r="F64" s="111"/>
      <c r="G64" s="206"/>
      <c r="H64" s="111"/>
      <c r="I64" s="206"/>
      <c r="J64" s="111"/>
      <c r="K64" s="206"/>
      <c r="L64" s="112"/>
      <c r="M64" s="112"/>
      <c r="N64" s="111"/>
      <c r="O64" s="111"/>
      <c r="P64" s="111"/>
      <c r="Q64" s="227"/>
      <c r="R64" s="228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4:28" ht="15.75">
      <c r="D65" s="111"/>
      <c r="E65" s="206"/>
      <c r="F65" s="111"/>
      <c r="G65" s="206"/>
      <c r="H65" s="111"/>
      <c r="I65" s="206"/>
      <c r="J65" s="111"/>
      <c r="K65" s="206"/>
      <c r="L65" s="112"/>
      <c r="M65" s="112"/>
      <c r="N65" s="111"/>
      <c r="O65" s="111"/>
      <c r="P65" s="111"/>
      <c r="Q65" s="227"/>
      <c r="R65" s="228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</row>
    <row r="66" spans="4:28" ht="15.75">
      <c r="D66" s="111"/>
      <c r="E66" s="206"/>
      <c r="F66" s="111"/>
      <c r="G66" s="206"/>
      <c r="H66" s="111"/>
      <c r="I66" s="206"/>
      <c r="J66" s="111"/>
      <c r="K66" s="206"/>
      <c r="L66" s="112"/>
      <c r="M66" s="112"/>
      <c r="N66" s="111"/>
      <c r="O66" s="111"/>
      <c r="P66" s="111"/>
      <c r="Q66" s="227"/>
      <c r="R66" s="228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</row>
    <row r="67" spans="4:28" ht="15.75">
      <c r="D67" s="111"/>
      <c r="E67" s="206"/>
      <c r="F67" s="111"/>
      <c r="G67" s="206"/>
      <c r="H67" s="111"/>
      <c r="I67" s="206"/>
      <c r="J67" s="111"/>
      <c r="K67" s="206"/>
      <c r="L67" s="112"/>
      <c r="M67" s="112"/>
      <c r="N67" s="111"/>
      <c r="O67" s="111"/>
      <c r="P67" s="111"/>
      <c r="Q67" s="227"/>
      <c r="R67" s="228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</row>
    <row r="68" spans="4:28" ht="15.75">
      <c r="D68" s="111"/>
      <c r="E68" s="206"/>
      <c r="F68" s="111"/>
      <c r="G68" s="206"/>
      <c r="H68" s="111"/>
      <c r="I68" s="206"/>
      <c r="J68" s="111"/>
      <c r="K68" s="206"/>
      <c r="L68" s="112"/>
      <c r="M68" s="112"/>
      <c r="N68" s="111"/>
      <c r="O68" s="111"/>
      <c r="P68" s="111"/>
      <c r="Q68" s="227"/>
      <c r="R68" s="228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</row>
    <row r="69" spans="4:28" ht="15.75">
      <c r="D69" s="111"/>
      <c r="E69" s="206"/>
      <c r="F69" s="111"/>
      <c r="G69" s="206"/>
      <c r="H69" s="111"/>
      <c r="I69" s="206"/>
      <c r="J69" s="111"/>
      <c r="K69" s="206"/>
      <c r="L69" s="112"/>
      <c r="M69" s="112"/>
      <c r="N69" s="111"/>
      <c r="O69" s="111"/>
      <c r="P69" s="111"/>
      <c r="Q69" s="227"/>
      <c r="R69" s="228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</row>
    <row r="70" spans="4:28" ht="15.75">
      <c r="D70" s="111"/>
      <c r="E70" s="206"/>
      <c r="F70" s="111"/>
      <c r="G70" s="206"/>
      <c r="H70" s="111"/>
      <c r="I70" s="206"/>
      <c r="J70" s="111"/>
      <c r="K70" s="206"/>
      <c r="L70" s="112"/>
      <c r="M70" s="112"/>
      <c r="N70" s="111"/>
      <c r="O70" s="111"/>
      <c r="P70" s="111"/>
      <c r="Q70" s="227"/>
      <c r="R70" s="228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</row>
    <row r="71" spans="4:28" ht="15.75">
      <c r="D71" s="111"/>
      <c r="E71" s="206"/>
      <c r="F71" s="111"/>
      <c r="G71" s="206"/>
      <c r="H71" s="111"/>
      <c r="I71" s="206"/>
      <c r="J71" s="111"/>
      <c r="K71" s="206"/>
      <c r="L71" s="112"/>
      <c r="M71" s="112"/>
      <c r="N71" s="111"/>
      <c r="O71" s="111"/>
      <c r="P71" s="111"/>
      <c r="Q71" s="227"/>
      <c r="R71" s="228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Q39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8.7109375" style="3" customWidth="1"/>
    <col min="2" max="2" width="10.421875" style="1" hidden="1" customWidth="1"/>
    <col min="3" max="3" width="5.140625" style="1" hidden="1" customWidth="1"/>
    <col min="4" max="4" width="10.57421875" style="14" customWidth="1"/>
    <col min="5" max="5" width="38.8515625" style="3" customWidth="1"/>
    <col min="6" max="6" width="27.421875" style="3" customWidth="1"/>
    <col min="7" max="7" width="5.7109375" style="3" customWidth="1"/>
    <col min="8" max="16384" width="9.140625" style="3" customWidth="1"/>
  </cols>
  <sheetData>
    <row r="1" spans="1:17" ht="18" customHeight="1" thickBot="1">
      <c r="A1" s="9" t="s">
        <v>3</v>
      </c>
      <c r="B1" s="15"/>
      <c r="C1" s="15"/>
      <c r="D1" s="10"/>
      <c r="E1" s="21" t="str">
        <f>Rajtlista!E1</f>
        <v>Boogie - Woogie</v>
      </c>
      <c r="F1" s="4" t="s">
        <v>4</v>
      </c>
      <c r="G1" s="206"/>
      <c r="H1" s="242" t="s">
        <v>88</v>
      </c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1" customHeight="1" thickBot="1">
      <c r="A2" s="191" t="s">
        <v>28</v>
      </c>
      <c r="B2" s="16"/>
      <c r="C2" s="16"/>
      <c r="D2" s="11"/>
      <c r="E2" s="7"/>
      <c r="F2" s="8">
        <f>COUNT(D4:D33)</f>
        <v>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6.5" thickBot="1">
      <c r="A3" s="5"/>
      <c r="D3" s="17" t="s">
        <v>0</v>
      </c>
      <c r="E3" s="18" t="s">
        <v>1</v>
      </c>
      <c r="F3" s="19" t="s">
        <v>2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5.75">
      <c r="A4" s="187">
        <f>IF(D4&lt;&gt;"",1,"")</f>
      </c>
      <c r="B4" s="237" t="str">
        <f ca="1">IF(E4="…"," ",IF(E4=""," ",RAND()))</f>
        <v> </v>
      </c>
      <c r="C4" s="237">
        <f>IF(ISNUMBER(D4)=TRUE,IF(COUNTIF(D4:D33,D4)=1,"","HIBA"),"")</f>
      </c>
      <c r="D4" s="171"/>
      <c r="E4" s="185"/>
      <c r="F4" s="185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7" ht="15.75">
      <c r="A5" s="187">
        <f>IF(D5&lt;&gt;"",2,"")</f>
      </c>
      <c r="B5" s="237" t="str">
        <f aca="true" ca="1" t="shared" si="0" ref="B5:B33">IF(E5="…"," ",IF(E5=""," ",RAND()))</f>
        <v> </v>
      </c>
      <c r="C5" s="237">
        <f>IF(ISNUMBER(D5)=TRUE,IF(COUNTIF(D4:D33,D5)=1,"","HIBA"),"")</f>
      </c>
      <c r="D5" s="186"/>
      <c r="E5" s="187"/>
      <c r="F5" s="187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7" ht="15.75">
      <c r="A6" s="187">
        <f>IF(D6&lt;&gt;"",3,"")</f>
      </c>
      <c r="B6" s="237" t="str">
        <f ca="1" t="shared" si="0"/>
        <v> </v>
      </c>
      <c r="C6" s="237">
        <f>IF(ISNUMBER(D6)=TRUE,IF(COUNTIF(D4:D33,D6)=1,"","HIBA"),"")</f>
      </c>
      <c r="D6" s="186"/>
      <c r="E6" s="187"/>
      <c r="F6" s="18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 ht="15.75">
      <c r="A7" s="187">
        <f>IF(D7&lt;&gt;"",4,"")</f>
      </c>
      <c r="B7" s="237" t="str">
        <f ca="1" t="shared" si="0"/>
        <v> </v>
      </c>
      <c r="C7" s="237">
        <f>IF(ISNUMBER(D7)=TRUE,IF(COUNTIF(D4:D33,D7)=1,"","HIBA"),"")</f>
      </c>
      <c r="D7" s="186"/>
      <c r="E7" s="187"/>
      <c r="F7" s="18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t="15.75">
      <c r="A8" s="187">
        <f>IF(D8&lt;&gt;"",5,"")</f>
      </c>
      <c r="B8" s="237" t="str">
        <f ca="1" t="shared" si="0"/>
        <v> </v>
      </c>
      <c r="C8" s="237">
        <f>IF(ISNUMBER(D8)=TRUE,IF(COUNTIF(D4:D33,D8)=1,"","HIBA"),"")</f>
      </c>
      <c r="D8" s="186"/>
      <c r="E8" s="187"/>
      <c r="F8" s="187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 ht="15.75">
      <c r="A9" s="187">
        <f>IF(D9&lt;&gt;"",6,"")</f>
      </c>
      <c r="B9" s="237" t="str">
        <f ca="1" t="shared" si="0"/>
        <v> </v>
      </c>
      <c r="C9" s="237">
        <f>IF(ISNUMBER(D9)=TRUE,IF(COUNTIF(D4:D33,D9)=1,"","HIBA"),"")</f>
      </c>
      <c r="D9" s="186"/>
      <c r="E9" s="187"/>
      <c r="F9" s="187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</row>
    <row r="10" spans="1:17" ht="15.75">
      <c r="A10" s="187">
        <f>IF(D10&lt;&gt;"",7,"")</f>
      </c>
      <c r="B10" s="237" t="str">
        <f ca="1" t="shared" si="0"/>
        <v> </v>
      </c>
      <c r="C10" s="237">
        <f>IF(ISNUMBER(D10)=TRUE,IF(COUNTIF(D4:D33,D10)=1,"","HIBA"),"")</f>
      </c>
      <c r="D10" s="186"/>
      <c r="E10" s="187"/>
      <c r="F10" s="187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</row>
    <row r="11" spans="1:17" ht="15.75">
      <c r="A11" s="187">
        <f>IF(D11&lt;&gt;"",8,"")</f>
      </c>
      <c r="B11" s="237" t="str">
        <f ca="1" t="shared" si="0"/>
        <v> </v>
      </c>
      <c r="C11" s="237">
        <f>IF(ISNUMBER(D11)=TRUE,IF(COUNTIF(D4:D33,D11)=1,"","HIBA"),"")</f>
      </c>
      <c r="D11" s="186"/>
      <c r="E11" s="187"/>
      <c r="F11" s="187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</row>
    <row r="12" spans="1:17" ht="15.75">
      <c r="A12" s="187">
        <f>IF(D12&lt;&gt;"",9,"")</f>
      </c>
      <c r="B12" s="237" t="str">
        <f ca="1" t="shared" si="0"/>
        <v> </v>
      </c>
      <c r="C12" s="237">
        <f>IF(ISNUMBER(D12)=TRUE,IF(COUNTIF(D4:D33,D12)=1,"","HIBA"),"")</f>
      </c>
      <c r="D12" s="186"/>
      <c r="E12" s="187"/>
      <c r="F12" s="18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spans="1:17" ht="15.75">
      <c r="A13" s="187">
        <f>IF(D13&lt;&gt;"",10,"")</f>
      </c>
      <c r="B13" s="237" t="str">
        <f ca="1" t="shared" si="0"/>
        <v> </v>
      </c>
      <c r="C13" s="237">
        <f>IF(ISNUMBER(D13)=TRUE,IF(COUNTIF(D4:D33,D13)=1,"","HIBA"),"")</f>
      </c>
      <c r="D13" s="186"/>
      <c r="E13" s="187"/>
      <c r="F13" s="187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15.75">
      <c r="A14" s="187">
        <f>IF(D14&lt;&gt;"",11,"")</f>
      </c>
      <c r="B14" s="237" t="str">
        <f ca="1" t="shared" si="0"/>
        <v> </v>
      </c>
      <c r="C14" s="237">
        <f>IF(ISNUMBER(D14)=TRUE,IF(COUNTIF(D4:D33,D14)=1,"","HIBA"),"")</f>
      </c>
      <c r="D14" s="186"/>
      <c r="E14" s="187"/>
      <c r="F14" s="18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7" ht="15.75">
      <c r="A15" s="187">
        <f>IF(D15&lt;&gt;"",12,"")</f>
      </c>
      <c r="B15" s="237" t="str">
        <f ca="1" t="shared" si="0"/>
        <v> </v>
      </c>
      <c r="C15" s="237">
        <f>IF(ISNUMBER(D15)=TRUE,IF(COUNTIF(D4:D33,D15)=1,"","HIBA"),"")</f>
      </c>
      <c r="D15" s="186"/>
      <c r="E15" s="187"/>
      <c r="F15" s="187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</row>
    <row r="16" spans="1:17" ht="15.75">
      <c r="A16" s="187">
        <f>IF(D16&lt;&gt;"",13,"")</f>
      </c>
      <c r="B16" s="237" t="str">
        <f ca="1" t="shared" si="0"/>
        <v> </v>
      </c>
      <c r="C16" s="237">
        <f>IF(ISNUMBER(D16)=TRUE,IF(COUNTIF(D4:D33,D16)=1,"","HIBA"),"")</f>
      </c>
      <c r="D16" s="186"/>
      <c r="E16" s="187"/>
      <c r="F16" s="187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</row>
    <row r="17" spans="1:17" ht="15.75">
      <c r="A17" s="187">
        <f>IF(D17&lt;&gt;"",14,"")</f>
      </c>
      <c r="B17" s="237" t="str">
        <f ca="1" t="shared" si="0"/>
        <v> </v>
      </c>
      <c r="C17" s="237">
        <f>IF(ISNUMBER(D17)=TRUE,IF(COUNTIF(D4:D33,D17)=1,"","HIBA"),"")</f>
      </c>
      <c r="D17" s="186"/>
      <c r="E17" s="187"/>
      <c r="F17" s="187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 ht="15.75">
      <c r="A18" s="187">
        <f>IF(D18&lt;&gt;"",15,"")</f>
      </c>
      <c r="B18" s="237" t="str">
        <f ca="1" t="shared" si="0"/>
        <v> </v>
      </c>
      <c r="C18" s="237">
        <f>IF(ISNUMBER(D18)=TRUE,IF(COUNTIF(D4:D33,D18)=1,"","HIBA"),"")</f>
      </c>
      <c r="D18" s="186"/>
      <c r="E18" s="187"/>
      <c r="F18" s="187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 ht="15.75">
      <c r="A19" s="187">
        <f>IF(D19&lt;&gt;"",16,"")</f>
      </c>
      <c r="B19" s="237" t="str">
        <f ca="1" t="shared" si="0"/>
        <v> </v>
      </c>
      <c r="C19" s="237">
        <f>IF(ISNUMBER(D19)=TRUE,IF(COUNTIF(D4:D33,D19)=1,"","HIBA"),"")</f>
      </c>
      <c r="D19" s="186"/>
      <c r="E19" s="187"/>
      <c r="F19" s="187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 ht="15.75">
      <c r="A20" s="187">
        <f>IF(D20&lt;&gt;"","17","")</f>
      </c>
      <c r="B20" s="237" t="str">
        <f ca="1" t="shared" si="0"/>
        <v> </v>
      </c>
      <c r="C20" s="237">
        <f>IF(ISNUMBER(D20)=TRUE,IF(COUNTIF(D4:D33,D20)=1,"","HIBA"),"")</f>
      </c>
      <c r="D20" s="186"/>
      <c r="E20" s="187"/>
      <c r="F20" s="187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 ht="15.75">
      <c r="A21" s="187">
        <f>IF(D21&lt;&gt;"",18,"")</f>
      </c>
      <c r="B21" s="237" t="str">
        <f ca="1" t="shared" si="0"/>
        <v> </v>
      </c>
      <c r="C21" s="237">
        <f>IF(ISNUMBER(D21)=TRUE,IF(COUNTIF(D4:D33,D21)=1,"","HIBA"),"")</f>
      </c>
      <c r="D21" s="186"/>
      <c r="E21" s="187"/>
      <c r="F21" s="187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5.75">
      <c r="A22" s="187">
        <f>IF(D22&lt;&gt;"",19,"")</f>
      </c>
      <c r="B22" s="237" t="str">
        <f ca="1" t="shared" si="0"/>
        <v> </v>
      </c>
      <c r="C22" s="237">
        <f>IF(ISNUMBER(D22)=TRUE,IF(COUNTIF(D4:D33,D22)=1,"","HIBA"),"")</f>
      </c>
      <c r="D22" s="186"/>
      <c r="E22" s="187"/>
      <c r="F22" s="187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5.75">
      <c r="A23" s="187">
        <f>IF(D23&lt;&gt;"",20,"")</f>
      </c>
      <c r="B23" s="237" t="str">
        <f ca="1" t="shared" si="0"/>
        <v> </v>
      </c>
      <c r="C23" s="237">
        <f>IF(ISNUMBER(D23)=TRUE,IF(COUNTIF(D4:D33,D23)=1,"","HIBA"),"")</f>
      </c>
      <c r="D23" s="186"/>
      <c r="E23" s="187"/>
      <c r="F23" s="187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5.75">
      <c r="A24" s="187">
        <f>IF(D24&lt;&gt;"",21,"")</f>
      </c>
      <c r="B24" s="237" t="str">
        <f ca="1" t="shared" si="0"/>
        <v> </v>
      </c>
      <c r="C24" s="237">
        <f>IF(ISNUMBER(D24)=TRUE,IF(COUNTIF(D4:D33,D24)=1,"","HIBA"),"")</f>
      </c>
      <c r="D24" s="186"/>
      <c r="E24" s="187"/>
      <c r="F24" s="187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17" ht="15.75">
      <c r="A25" s="187">
        <f>IF(D25&lt;&gt;"",22,"")</f>
      </c>
      <c r="B25" s="237" t="str">
        <f ca="1" t="shared" si="0"/>
        <v> </v>
      </c>
      <c r="C25" s="237">
        <f>IF(ISNUMBER(D25)=TRUE,IF(COUNTIF(D4:D33,D25)=1,"","HIBA"),"")</f>
      </c>
      <c r="D25" s="186"/>
      <c r="E25" s="187"/>
      <c r="F25" s="187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15.75">
      <c r="A26" s="187">
        <f>IF(D26&lt;&gt;"",23,"")</f>
      </c>
      <c r="B26" s="237" t="str">
        <f ca="1" t="shared" si="0"/>
        <v> </v>
      </c>
      <c r="C26" s="237">
        <f>IF(ISNUMBER(D26)=TRUE,IF(COUNTIF(D4:D33,D26)=1,"","HIBA"),"")</f>
      </c>
      <c r="D26" s="186"/>
      <c r="E26" s="187"/>
      <c r="F26" s="187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</row>
    <row r="27" spans="1:17" ht="15.75">
      <c r="A27" s="187">
        <f>IF(D27&lt;&gt;"",24,"")</f>
      </c>
      <c r="B27" s="237" t="str">
        <f ca="1" t="shared" si="0"/>
        <v> </v>
      </c>
      <c r="C27" s="237">
        <f>IF(ISNUMBER(D27)=TRUE,IF(COUNTIF(D4:D33,D27)=1,"","HIBA"),"")</f>
      </c>
      <c r="D27" s="186"/>
      <c r="E27" s="187"/>
      <c r="F27" s="187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</row>
    <row r="28" spans="1:17" ht="15.75">
      <c r="A28" s="187">
        <f>IF(D28&lt;&gt;"",25,"")</f>
      </c>
      <c r="B28" s="237" t="str">
        <f ca="1" t="shared" si="0"/>
        <v> </v>
      </c>
      <c r="C28" s="237">
        <f>IF(ISNUMBER(D28)=TRUE,IF(COUNTIF(D4:D33,D28)=1,"","HIBA"),"")</f>
      </c>
      <c r="D28" s="186"/>
      <c r="E28" s="187"/>
      <c r="F28" s="187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</row>
    <row r="29" spans="1:17" ht="15.75">
      <c r="A29" s="187">
        <f>IF(D29&lt;&gt;"",26,"")</f>
      </c>
      <c r="B29" s="237" t="str">
        <f ca="1" t="shared" si="0"/>
        <v> </v>
      </c>
      <c r="C29" s="237">
        <f>IF(ISNUMBER(D29)=TRUE,IF(COUNTIF(D4:D33,D29)=1,"","HIBA"),"")</f>
      </c>
      <c r="D29" s="186"/>
      <c r="E29" s="187"/>
      <c r="F29" s="187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</row>
    <row r="30" spans="1:17" ht="15.75">
      <c r="A30" s="187">
        <f>IF(D30&lt;&gt;"",27,"")</f>
      </c>
      <c r="B30" s="237" t="str">
        <f ca="1" t="shared" si="0"/>
        <v> </v>
      </c>
      <c r="C30" s="237">
        <f>IF(ISNUMBER(D30)=TRUE,IF(COUNTIF(D4:D33,D30)=1,"","HIBA"),"")</f>
      </c>
      <c r="D30" s="186"/>
      <c r="E30" s="187"/>
      <c r="F30" s="187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</row>
    <row r="31" spans="1:17" ht="15.75">
      <c r="A31" s="187">
        <f>IF(D31&lt;&gt;"",28,"")</f>
      </c>
      <c r="B31" s="237" t="str">
        <f ca="1" t="shared" si="0"/>
        <v> </v>
      </c>
      <c r="C31" s="237">
        <f>IF(ISNUMBER(D31)=TRUE,IF(COUNTIF(D4:D33,D31)=1,"","HIBA"),"")</f>
      </c>
      <c r="D31" s="186"/>
      <c r="E31" s="187"/>
      <c r="F31" s="187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</row>
    <row r="32" spans="1:17" ht="15.75">
      <c r="A32" s="187">
        <f>IF(D32&lt;&gt;"",29,"")</f>
      </c>
      <c r="B32" s="237" t="str">
        <f ca="1" t="shared" si="0"/>
        <v> </v>
      </c>
      <c r="C32" s="237">
        <f>IF(ISNUMBER(D32)=TRUE,IF(COUNTIF(D4:D33,D32)=1,"","HIBA"),"")</f>
      </c>
      <c r="D32" s="186"/>
      <c r="E32" s="187"/>
      <c r="F32" s="187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1:17" ht="15.75">
      <c r="A33" s="187">
        <f>IF(D33&lt;&gt;"",30,"")</f>
      </c>
      <c r="B33" s="237" t="str">
        <f ca="1" t="shared" si="0"/>
        <v> </v>
      </c>
      <c r="C33" s="237">
        <f>IF(ISNUMBER(D33)=TRUE,IF(COUNTIF(D4:D33,D33)=1,"","HIBA"),"")</f>
      </c>
      <c r="D33" s="186"/>
      <c r="E33" s="187"/>
      <c r="F33" s="187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5.75">
      <c r="A34" s="206"/>
      <c r="B34" s="237"/>
      <c r="C34" s="237"/>
      <c r="D34" s="238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5.75">
      <c r="A35" s="206"/>
      <c r="B35" s="237"/>
      <c r="C35" s="237"/>
      <c r="D35" s="238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</row>
    <row r="36" spans="1:17" ht="15.75">
      <c r="A36" s="206"/>
      <c r="B36" s="237"/>
      <c r="C36" s="237"/>
      <c r="D36" s="238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7" spans="1:17" ht="15.75">
      <c r="A37" s="206"/>
      <c r="B37" s="237"/>
      <c r="C37" s="237"/>
      <c r="D37" s="238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</row>
    <row r="38" spans="1:17" ht="15.75">
      <c r="A38" s="206"/>
      <c r="B38" s="237"/>
      <c r="C38" s="237"/>
      <c r="D38" s="238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</row>
    <row r="39" spans="1:17" ht="15.75">
      <c r="A39" s="206"/>
      <c r="B39" s="237"/>
      <c r="C39" s="237"/>
      <c r="D39" s="238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4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5.140625" style="28" customWidth="1"/>
    <col min="2" max="2" width="10.00390625" style="22" customWidth="1"/>
    <col min="3" max="3" width="48.57421875" style="2" customWidth="1"/>
    <col min="4" max="4" width="27.57421875" style="2" customWidth="1"/>
    <col min="5" max="16384" width="9.140625" style="2" customWidth="1"/>
  </cols>
  <sheetData>
    <row r="1" spans="1:14" ht="24" customHeight="1" thickBot="1">
      <c r="A1" s="146"/>
      <c r="B1" s="147"/>
      <c r="C1" s="148" t="s">
        <v>22</v>
      </c>
      <c r="D1" s="149"/>
      <c r="E1" s="174"/>
      <c r="F1" s="241" t="s">
        <v>88</v>
      </c>
      <c r="G1" s="174"/>
      <c r="H1" s="174"/>
      <c r="I1" s="174"/>
      <c r="J1" s="174"/>
      <c r="K1" s="174"/>
      <c r="L1" s="174"/>
      <c r="M1" s="174"/>
      <c r="N1" s="174"/>
    </row>
    <row r="2" spans="1:14" ht="24" customHeight="1" thickBot="1">
      <c r="A2" s="165" t="s">
        <v>6</v>
      </c>
      <c r="B2" s="147"/>
      <c r="C2" s="166" t="str">
        <f>Rajtlista!E1</f>
        <v>Boogie - Woogie</v>
      </c>
      <c r="D2" s="149"/>
      <c r="E2" s="174"/>
      <c r="F2" s="174"/>
      <c r="G2" s="174"/>
      <c r="H2" s="174"/>
      <c r="I2" s="174"/>
      <c r="J2" s="174"/>
      <c r="K2" s="174"/>
      <c r="L2" s="174"/>
      <c r="M2" s="174"/>
      <c r="N2" s="174"/>
    </row>
    <row r="3" spans="1:14" ht="21.75" customHeight="1" thickBot="1">
      <c r="A3" s="167" t="s">
        <v>5</v>
      </c>
      <c r="B3" s="158" t="s">
        <v>0</v>
      </c>
      <c r="C3" s="168" t="s">
        <v>1</v>
      </c>
      <c r="D3" s="169" t="s">
        <v>2</v>
      </c>
      <c r="E3" s="174"/>
      <c r="F3" s="174"/>
      <c r="G3" s="174"/>
      <c r="H3" s="174"/>
      <c r="I3" s="174"/>
      <c r="J3" s="174"/>
      <c r="K3" s="174"/>
      <c r="L3" s="174"/>
      <c r="M3" s="174"/>
      <c r="N3" s="174"/>
    </row>
    <row r="4" spans="1:14" ht="15.75" customHeight="1">
      <c r="A4" s="229"/>
      <c r="B4" s="171"/>
      <c r="C4" s="185"/>
      <c r="D4" s="185"/>
      <c r="E4" s="174"/>
      <c r="F4" s="174"/>
      <c r="G4" s="174"/>
      <c r="H4" s="174"/>
      <c r="I4" s="174"/>
      <c r="J4" s="174"/>
      <c r="K4" s="174"/>
      <c r="L4" s="174"/>
      <c r="M4" s="174"/>
      <c r="N4" s="174"/>
    </row>
    <row r="5" spans="1:14" ht="15.75" customHeight="1">
      <c r="A5" s="232"/>
      <c r="B5" s="186"/>
      <c r="C5" s="187"/>
      <c r="D5" s="187"/>
      <c r="E5" s="174"/>
      <c r="F5" s="174"/>
      <c r="G5" s="174"/>
      <c r="H5" s="174"/>
      <c r="I5" s="174"/>
      <c r="J5" s="174"/>
      <c r="K5" s="174"/>
      <c r="L5" s="174"/>
      <c r="M5" s="174"/>
      <c r="N5" s="174"/>
    </row>
    <row r="6" spans="1:14" ht="15.75" customHeight="1">
      <c r="A6" s="232"/>
      <c r="B6" s="186"/>
      <c r="C6" s="187"/>
      <c r="D6" s="187"/>
      <c r="E6" s="174"/>
      <c r="F6" s="174"/>
      <c r="G6" s="174"/>
      <c r="H6" s="174"/>
      <c r="I6" s="174"/>
      <c r="J6" s="174"/>
      <c r="K6" s="174"/>
      <c r="L6" s="174"/>
      <c r="M6" s="174"/>
      <c r="N6" s="174"/>
    </row>
    <row r="7" spans="1:14" ht="15.75" customHeight="1">
      <c r="A7" s="232"/>
      <c r="B7" s="186"/>
      <c r="C7" s="187"/>
      <c r="D7" s="187"/>
      <c r="E7" s="174"/>
      <c r="F7" s="174"/>
      <c r="G7" s="174"/>
      <c r="H7" s="174"/>
      <c r="I7" s="174"/>
      <c r="J7" s="174"/>
      <c r="K7" s="174"/>
      <c r="L7" s="174"/>
      <c r="M7" s="174"/>
      <c r="N7" s="174"/>
    </row>
    <row r="8" spans="1:14" ht="15.75" customHeight="1">
      <c r="A8" s="232"/>
      <c r="B8" s="186"/>
      <c r="C8" s="187"/>
      <c r="D8" s="187"/>
      <c r="E8" s="174"/>
      <c r="F8" s="174"/>
      <c r="G8" s="174"/>
      <c r="H8" s="174"/>
      <c r="I8" s="174"/>
      <c r="J8" s="174"/>
      <c r="K8" s="174"/>
      <c r="L8" s="174"/>
      <c r="M8" s="174"/>
      <c r="N8" s="174"/>
    </row>
    <row r="9" spans="1:14" ht="15.75" customHeight="1">
      <c r="A9" s="232"/>
      <c r="B9" s="186"/>
      <c r="C9" s="187"/>
      <c r="D9" s="187"/>
      <c r="E9" s="174"/>
      <c r="F9" s="174"/>
      <c r="G9" s="174"/>
      <c r="H9" s="174"/>
      <c r="I9" s="174"/>
      <c r="J9" s="174"/>
      <c r="K9" s="174"/>
      <c r="L9" s="174"/>
      <c r="M9" s="174"/>
      <c r="N9" s="174"/>
    </row>
    <row r="10" spans="1:14" ht="15.75" customHeight="1">
      <c r="A10" s="232"/>
      <c r="B10" s="186"/>
      <c r="C10" s="187"/>
      <c r="D10" s="187"/>
      <c r="E10" s="174"/>
      <c r="F10" s="174"/>
      <c r="G10" s="174"/>
      <c r="H10" s="174"/>
      <c r="I10" s="174"/>
      <c r="J10" s="174"/>
      <c r="K10" s="174"/>
      <c r="L10" s="174"/>
      <c r="M10" s="174"/>
      <c r="N10" s="174"/>
    </row>
    <row r="11" spans="1:14" ht="15.75" customHeight="1">
      <c r="A11" s="232"/>
      <c r="B11" s="186"/>
      <c r="C11" s="187"/>
      <c r="D11" s="187"/>
      <c r="E11" s="174"/>
      <c r="F11" s="174"/>
      <c r="G11" s="174"/>
      <c r="H11" s="174"/>
      <c r="I11" s="174"/>
      <c r="J11" s="174"/>
      <c r="K11" s="174"/>
      <c r="L11" s="174"/>
      <c r="M11" s="174"/>
      <c r="N11" s="174"/>
    </row>
    <row r="12" spans="1:14" ht="15.75" customHeight="1">
      <c r="A12" s="232"/>
      <c r="B12" s="186"/>
      <c r="C12" s="187"/>
      <c r="D12" s="187"/>
      <c r="E12" s="174"/>
      <c r="F12" s="174"/>
      <c r="G12" s="174"/>
      <c r="H12" s="174"/>
      <c r="I12" s="174"/>
      <c r="J12" s="174"/>
      <c r="K12" s="174"/>
      <c r="L12" s="174"/>
      <c r="M12" s="174"/>
      <c r="N12" s="174"/>
    </row>
    <row r="13" spans="1:14" ht="15.75" customHeight="1">
      <c r="A13" s="232"/>
      <c r="B13" s="186"/>
      <c r="C13" s="187"/>
      <c r="D13" s="187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15.75" customHeight="1">
      <c r="A14" s="232"/>
      <c r="B14" s="186"/>
      <c r="C14" s="187"/>
      <c r="D14" s="187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5.75" customHeight="1">
      <c r="A15" s="232"/>
      <c r="B15" s="186"/>
      <c r="C15" s="187"/>
      <c r="D15" s="187"/>
      <c r="E15" s="174"/>
      <c r="F15" s="174"/>
      <c r="G15" s="174"/>
      <c r="H15" s="174"/>
      <c r="I15" s="174"/>
      <c r="J15" s="174"/>
      <c r="K15" s="174"/>
      <c r="L15" s="174"/>
      <c r="M15" s="174"/>
      <c r="N15" s="174"/>
    </row>
    <row r="16" spans="1:14" ht="15.75" customHeight="1">
      <c r="A16" s="232"/>
      <c r="B16" s="186"/>
      <c r="C16" s="187"/>
      <c r="D16" s="187"/>
      <c r="E16" s="174"/>
      <c r="F16" s="174"/>
      <c r="G16" s="174"/>
      <c r="H16" s="174"/>
      <c r="I16" s="174"/>
      <c r="J16" s="174"/>
      <c r="K16" s="174"/>
      <c r="L16" s="174"/>
      <c r="M16" s="174"/>
      <c r="N16" s="174"/>
    </row>
    <row r="17" spans="1:14" ht="15.75" customHeight="1">
      <c r="A17" s="232"/>
      <c r="B17" s="186"/>
      <c r="C17" s="187"/>
      <c r="D17" s="187"/>
      <c r="E17" s="174"/>
      <c r="F17" s="174"/>
      <c r="G17" s="174"/>
      <c r="H17" s="174"/>
      <c r="I17" s="174"/>
      <c r="J17" s="174"/>
      <c r="K17" s="174"/>
      <c r="L17" s="174"/>
      <c r="M17" s="174"/>
      <c r="N17" s="174"/>
    </row>
    <row r="18" spans="1:14" ht="15.75" customHeight="1">
      <c r="A18" s="232"/>
      <c r="B18" s="186"/>
      <c r="C18" s="187"/>
      <c r="D18" s="187"/>
      <c r="E18" s="174"/>
      <c r="F18" s="174"/>
      <c r="G18" s="174"/>
      <c r="H18" s="174"/>
      <c r="I18" s="174"/>
      <c r="J18" s="174"/>
      <c r="K18" s="174"/>
      <c r="L18" s="174"/>
      <c r="M18" s="174"/>
      <c r="N18" s="174"/>
    </row>
    <row r="19" spans="1:14" ht="15.75" customHeight="1">
      <c r="A19" s="230"/>
      <c r="B19" s="186"/>
      <c r="C19" s="187"/>
      <c r="D19" s="187"/>
      <c r="E19" s="174"/>
      <c r="F19" s="174"/>
      <c r="G19" s="174"/>
      <c r="H19" s="174"/>
      <c r="I19" s="174"/>
      <c r="J19" s="174"/>
      <c r="K19" s="174"/>
      <c r="L19" s="174"/>
      <c r="M19" s="174"/>
      <c r="N19" s="174"/>
    </row>
    <row r="20" spans="1:14" ht="15.75" customHeight="1">
      <c r="A20" s="230"/>
      <c r="B20" s="186"/>
      <c r="C20" s="187"/>
      <c r="D20" s="187"/>
      <c r="E20" s="174"/>
      <c r="F20" s="174"/>
      <c r="G20" s="174"/>
      <c r="H20" s="174"/>
      <c r="I20" s="174"/>
      <c r="J20" s="174"/>
      <c r="K20" s="174"/>
      <c r="L20" s="174"/>
      <c r="M20" s="174"/>
      <c r="N20" s="174"/>
    </row>
    <row r="21" spans="1:14" ht="15.75" customHeight="1">
      <c r="A21" s="230"/>
      <c r="B21" s="186"/>
      <c r="C21" s="187"/>
      <c r="D21" s="187"/>
      <c r="E21" s="174"/>
      <c r="F21" s="174"/>
      <c r="G21" s="174"/>
      <c r="H21" s="174"/>
      <c r="I21" s="174"/>
      <c r="J21" s="174"/>
      <c r="K21" s="174"/>
      <c r="L21" s="174"/>
      <c r="M21" s="174"/>
      <c r="N21" s="174"/>
    </row>
    <row r="22" spans="1:14" ht="15.75" customHeight="1">
      <c r="A22" s="230"/>
      <c r="B22" s="186"/>
      <c r="C22" s="187"/>
      <c r="D22" s="187"/>
      <c r="E22" s="174"/>
      <c r="F22" s="174"/>
      <c r="G22" s="174"/>
      <c r="H22" s="174"/>
      <c r="I22" s="174"/>
      <c r="J22" s="174"/>
      <c r="K22" s="174"/>
      <c r="L22" s="174"/>
      <c r="M22" s="174"/>
      <c r="N22" s="174"/>
    </row>
    <row r="23" spans="1:14" ht="15.75" customHeight="1">
      <c r="A23" s="230"/>
      <c r="B23" s="186"/>
      <c r="C23" s="187"/>
      <c r="D23" s="187"/>
      <c r="E23" s="174"/>
      <c r="F23" s="174"/>
      <c r="G23" s="174"/>
      <c r="H23" s="174"/>
      <c r="I23" s="174"/>
      <c r="J23" s="174"/>
      <c r="K23" s="174"/>
      <c r="L23" s="174"/>
      <c r="M23" s="174"/>
      <c r="N23" s="174"/>
    </row>
    <row r="24" spans="1:14" ht="15.75" customHeight="1">
      <c r="A24" s="230"/>
      <c r="B24" s="186"/>
      <c r="C24" s="187"/>
      <c r="D24" s="187"/>
      <c r="E24" s="174"/>
      <c r="F24" s="174"/>
      <c r="G24" s="174"/>
      <c r="H24" s="174"/>
      <c r="I24" s="174"/>
      <c r="J24" s="174"/>
      <c r="K24" s="174"/>
      <c r="L24" s="174"/>
      <c r="M24" s="174"/>
      <c r="N24" s="174"/>
    </row>
    <row r="25" spans="1:14" ht="15.75" customHeight="1">
      <c r="A25" s="230"/>
      <c r="B25" s="186"/>
      <c r="C25" s="187"/>
      <c r="D25" s="187"/>
      <c r="E25" s="174"/>
      <c r="F25" s="174"/>
      <c r="G25" s="174"/>
      <c r="H25" s="174"/>
      <c r="I25" s="174"/>
      <c r="J25" s="174"/>
      <c r="K25" s="174"/>
      <c r="L25" s="174"/>
      <c r="M25" s="174"/>
      <c r="N25" s="174"/>
    </row>
    <row r="26" spans="1:14" ht="15.75" customHeight="1">
      <c r="A26" s="230"/>
      <c r="B26" s="231"/>
      <c r="C26" s="232"/>
      <c r="D26" s="232"/>
      <c r="E26" s="174"/>
      <c r="F26" s="174"/>
      <c r="G26" s="174"/>
      <c r="H26" s="174"/>
      <c r="I26" s="174"/>
      <c r="J26" s="174"/>
      <c r="K26" s="174"/>
      <c r="L26" s="174"/>
      <c r="M26" s="174"/>
      <c r="N26" s="174"/>
    </row>
    <row r="27" spans="1:14" ht="15.75" customHeight="1">
      <c r="A27" s="230"/>
      <c r="B27" s="231"/>
      <c r="C27" s="232"/>
      <c r="D27" s="232"/>
      <c r="E27" s="174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4" ht="15.75" customHeight="1">
      <c r="A28" s="230"/>
      <c r="B28" s="231"/>
      <c r="C28" s="232"/>
      <c r="D28" s="232"/>
      <c r="E28" s="174"/>
      <c r="F28" s="174"/>
      <c r="G28" s="174"/>
      <c r="H28" s="174"/>
      <c r="I28" s="174"/>
      <c r="J28" s="174"/>
      <c r="K28" s="174"/>
      <c r="L28" s="174"/>
      <c r="M28" s="174"/>
      <c r="N28" s="174"/>
    </row>
    <row r="29" spans="1:14" ht="15.75" customHeight="1">
      <c r="A29" s="230"/>
      <c r="B29" s="231"/>
      <c r="C29" s="232"/>
      <c r="D29" s="232"/>
      <c r="E29" s="174"/>
      <c r="F29" s="174"/>
      <c r="G29" s="174"/>
      <c r="H29" s="174"/>
      <c r="I29" s="174"/>
      <c r="J29" s="174"/>
      <c r="K29" s="174"/>
      <c r="L29" s="174"/>
      <c r="M29" s="174"/>
      <c r="N29" s="174"/>
    </row>
    <row r="30" spans="1:14" ht="15.75" customHeight="1">
      <c r="A30" s="230"/>
      <c r="B30" s="231"/>
      <c r="C30" s="232"/>
      <c r="D30" s="232"/>
      <c r="E30" s="174"/>
      <c r="F30" s="174"/>
      <c r="G30" s="174"/>
      <c r="H30" s="174"/>
      <c r="I30" s="174"/>
      <c r="J30" s="174"/>
      <c r="K30" s="174"/>
      <c r="L30" s="174"/>
      <c r="M30" s="174"/>
      <c r="N30" s="174"/>
    </row>
    <row r="31" spans="1:14" ht="15.75" customHeight="1">
      <c r="A31" s="230"/>
      <c r="B31" s="231"/>
      <c r="C31" s="232"/>
      <c r="D31" s="232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1:14" ht="15.75" customHeight="1">
      <c r="A32" s="230"/>
      <c r="B32" s="231"/>
      <c r="C32" s="232"/>
      <c r="D32" s="232"/>
      <c r="E32" s="174"/>
      <c r="F32" s="174"/>
      <c r="G32" s="174"/>
      <c r="H32" s="174"/>
      <c r="I32" s="174"/>
      <c r="J32" s="174"/>
      <c r="K32" s="174"/>
      <c r="L32" s="174"/>
      <c r="M32" s="174"/>
      <c r="N32" s="174"/>
    </row>
    <row r="33" spans="1:14" ht="15.75" customHeight="1">
      <c r="A33" s="230"/>
      <c r="B33" s="231"/>
      <c r="C33" s="232"/>
      <c r="D33" s="232"/>
      <c r="E33" s="174"/>
      <c r="F33" s="174"/>
      <c r="G33" s="174"/>
      <c r="H33" s="174"/>
      <c r="I33" s="174"/>
      <c r="J33" s="174"/>
      <c r="K33" s="174"/>
      <c r="L33" s="174"/>
      <c r="M33" s="174"/>
      <c r="N33" s="174"/>
    </row>
    <row r="34" spans="1:14" ht="15.75" customHeight="1">
      <c r="A34" s="230"/>
      <c r="B34" s="231"/>
      <c r="C34" s="232"/>
      <c r="D34" s="232"/>
      <c r="E34" s="174"/>
      <c r="F34" s="174"/>
      <c r="G34" s="174"/>
      <c r="H34" s="174"/>
      <c r="I34" s="174"/>
      <c r="J34" s="174"/>
      <c r="K34" s="174"/>
      <c r="L34" s="174"/>
      <c r="M34" s="174"/>
      <c r="N34" s="174"/>
    </row>
    <row r="35" spans="1:14" ht="15.75" customHeight="1">
      <c r="A35" s="230"/>
      <c r="B35" s="231"/>
      <c r="C35" s="232"/>
      <c r="D35" s="232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5.75" customHeight="1">
      <c r="A36" s="230"/>
      <c r="B36" s="231"/>
      <c r="C36" s="232"/>
      <c r="D36" s="232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5.75" customHeight="1">
      <c r="A37" s="230"/>
      <c r="B37" s="231"/>
      <c r="C37" s="232"/>
      <c r="D37" s="232"/>
      <c r="E37" s="174"/>
      <c r="F37" s="174"/>
      <c r="G37" s="174"/>
      <c r="H37" s="174"/>
      <c r="I37" s="174"/>
      <c r="J37" s="174"/>
      <c r="K37" s="174"/>
      <c r="L37" s="174"/>
      <c r="M37" s="174"/>
      <c r="N37" s="174"/>
    </row>
    <row r="38" spans="1:14" ht="15.75" customHeight="1">
      <c r="A38" s="230"/>
      <c r="B38" s="231"/>
      <c r="C38" s="232"/>
      <c r="D38" s="232"/>
      <c r="E38" s="174"/>
      <c r="F38" s="174"/>
      <c r="G38" s="174"/>
      <c r="H38" s="174"/>
      <c r="I38" s="174"/>
      <c r="J38" s="174"/>
      <c r="K38" s="174"/>
      <c r="L38" s="174"/>
      <c r="M38" s="174"/>
      <c r="N38" s="174"/>
    </row>
    <row r="39" spans="1:14" ht="15.75" customHeight="1">
      <c r="A39" s="230"/>
      <c r="B39" s="231"/>
      <c r="C39" s="232"/>
      <c r="D39" s="232"/>
      <c r="E39" s="174"/>
      <c r="F39" s="174"/>
      <c r="G39" s="174"/>
      <c r="H39" s="174"/>
      <c r="I39" s="174"/>
      <c r="J39" s="174"/>
      <c r="K39" s="174"/>
      <c r="L39" s="174"/>
      <c r="M39" s="174"/>
      <c r="N39" s="174"/>
    </row>
    <row r="40" spans="1:14" ht="15.75" customHeight="1">
      <c r="A40" s="230"/>
      <c r="B40" s="231"/>
      <c r="C40" s="232"/>
      <c r="D40" s="232"/>
      <c r="E40" s="174"/>
      <c r="F40" s="174"/>
      <c r="G40" s="174"/>
      <c r="H40" s="174"/>
      <c r="I40" s="174"/>
      <c r="J40" s="174"/>
      <c r="K40" s="174"/>
      <c r="L40" s="174"/>
      <c r="M40" s="174"/>
      <c r="N40" s="174"/>
    </row>
    <row r="41" spans="1:14" ht="15.75" customHeight="1">
      <c r="A41" s="230"/>
      <c r="B41" s="231"/>
      <c r="C41" s="232"/>
      <c r="D41" s="232"/>
      <c r="E41" s="174"/>
      <c r="F41" s="174"/>
      <c r="G41" s="174"/>
      <c r="H41" s="174"/>
      <c r="I41" s="174"/>
      <c r="J41" s="174"/>
      <c r="K41" s="174"/>
      <c r="L41" s="174"/>
      <c r="M41" s="174"/>
      <c r="N41" s="174"/>
    </row>
    <row r="42" spans="1:14" ht="12.75">
      <c r="A42" s="172"/>
      <c r="B42" s="173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</row>
    <row r="43" spans="1:14" ht="12.75">
      <c r="A43" s="172"/>
      <c r="B43" s="173"/>
      <c r="C43" s="174"/>
      <c r="D43" s="174"/>
      <c r="E43" s="174"/>
      <c r="F43" s="174"/>
      <c r="G43" s="174"/>
      <c r="H43" s="174"/>
      <c r="I43" s="174"/>
      <c r="J43" s="174"/>
      <c r="K43" s="174"/>
      <c r="L43" s="174"/>
      <c r="M43" s="174"/>
      <c r="N43" s="174"/>
    </row>
    <row r="44" spans="1:14" ht="12.75">
      <c r="A44" s="172"/>
      <c r="B44" s="173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</row>
    <row r="45" spans="1:14" ht="12.75">
      <c r="A45" s="172"/>
      <c r="B45" s="173"/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</row>
    <row r="46" spans="1:5" ht="12.75">
      <c r="A46" s="172"/>
      <c r="B46" s="173"/>
      <c r="C46" s="174"/>
      <c r="D46" s="174"/>
      <c r="E46" s="127"/>
    </row>
  </sheetData>
  <sheetProtection/>
  <printOptions/>
  <pageMargins left="0.44" right="0.75" top="1" bottom="1" header="0.5" footer="0.5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D50"/>
  <sheetViews>
    <sheetView zoomScalePageLayoutView="0" workbookViewId="0" topLeftCell="A1">
      <selection activeCell="AA21" sqref="AA21"/>
    </sheetView>
  </sheetViews>
  <sheetFormatPr defaultColWidth="9.140625" defaultRowHeight="12.75"/>
  <cols>
    <col min="1" max="1" width="7.57421875" style="20" customWidth="1"/>
    <col min="2" max="2" width="12.7109375" style="24" customWidth="1"/>
    <col min="3" max="4" width="2.7109375" style="24" hidden="1" customWidth="1"/>
    <col min="5" max="5" width="10.57421875" style="24" customWidth="1"/>
    <col min="6" max="6" width="10.57421875" style="24" hidden="1" customWidth="1"/>
    <col min="7" max="7" width="10.57421875" style="24" customWidth="1"/>
    <col min="8" max="8" width="10.57421875" style="24" hidden="1" customWidth="1"/>
    <col min="9" max="9" width="10.57421875" style="24" customWidth="1"/>
    <col min="10" max="10" width="10.57421875" style="24" hidden="1" customWidth="1"/>
    <col min="11" max="11" width="10.57421875" style="24" customWidth="1"/>
    <col min="12" max="12" width="10.57421875" style="24" hidden="1" customWidth="1"/>
    <col min="13" max="13" width="10.57421875" style="24" customWidth="1"/>
    <col min="14" max="14" width="4.00390625" style="24" hidden="1" customWidth="1"/>
    <col min="15" max="15" width="8.7109375" style="24" customWidth="1"/>
    <col min="16" max="17" width="0.13671875" style="24" hidden="1" customWidth="1"/>
    <col min="18" max="18" width="8.140625" style="24" customWidth="1"/>
    <col min="19" max="19" width="4.8515625" style="24" hidden="1" customWidth="1"/>
    <col min="20" max="20" width="4.7109375" style="24" hidden="1" customWidth="1"/>
    <col min="21" max="16384" width="9.140625" style="20" customWidth="1"/>
  </cols>
  <sheetData>
    <row r="1" spans="1:30" ht="30.75" customHeight="1" thickBot="1">
      <c r="A1" s="111"/>
      <c r="B1" s="112"/>
      <c r="C1" s="112"/>
      <c r="D1" s="112"/>
      <c r="E1" s="112"/>
      <c r="F1" s="112"/>
      <c r="G1" s="112"/>
      <c r="H1" s="112"/>
      <c r="I1" s="113" t="s">
        <v>72</v>
      </c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1"/>
      <c r="V1" s="241" t="s">
        <v>88</v>
      </c>
      <c r="W1" s="240"/>
      <c r="X1" s="111"/>
      <c r="Y1" s="111"/>
      <c r="Z1" s="111"/>
      <c r="AA1" s="111"/>
      <c r="AB1" s="111"/>
      <c r="AC1" s="111"/>
      <c r="AD1" s="111"/>
    </row>
    <row r="2" spans="1:30" ht="16.5" customHeight="1" thickBot="1">
      <c r="A2" s="29" t="s">
        <v>14</v>
      </c>
      <c r="B2" s="30"/>
      <c r="C2" s="30"/>
      <c r="D2" s="30"/>
      <c r="E2" s="261">
        <v>0</v>
      </c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>
        <f>Rajtlista!F2</f>
        <v>5</v>
      </c>
      <c r="T2" s="112"/>
      <c r="U2" s="111"/>
      <c r="V2" s="111"/>
      <c r="W2" s="111"/>
      <c r="X2" s="111"/>
      <c r="Y2" s="111"/>
      <c r="Z2" s="111"/>
      <c r="AA2" s="111"/>
      <c r="AB2" s="111"/>
      <c r="AC2" s="111"/>
      <c r="AD2" s="111"/>
    </row>
    <row r="3" spans="1:30" ht="13.5" thickBot="1">
      <c r="A3" s="111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1"/>
      <c r="V3" s="111"/>
      <c r="W3" s="111"/>
      <c r="X3" s="111"/>
      <c r="Y3" s="111"/>
      <c r="Z3" s="111"/>
      <c r="AA3" s="111"/>
      <c r="AB3" s="111"/>
      <c r="AC3" s="111"/>
      <c r="AD3" s="111"/>
    </row>
    <row r="4" spans="1:30" ht="13.5" thickBot="1">
      <c r="A4" s="111"/>
      <c r="B4" s="290" t="s">
        <v>0</v>
      </c>
      <c r="C4" s="290" t="s">
        <v>1</v>
      </c>
      <c r="D4" s="290" t="s">
        <v>2</v>
      </c>
      <c r="E4" s="291" t="s">
        <v>8</v>
      </c>
      <c r="F4" s="139" t="s">
        <v>16</v>
      </c>
      <c r="G4" s="291" t="s">
        <v>9</v>
      </c>
      <c r="H4" s="139" t="s">
        <v>16</v>
      </c>
      <c r="I4" s="291" t="s">
        <v>10</v>
      </c>
      <c r="J4" s="291" t="s">
        <v>16</v>
      </c>
      <c r="K4" s="291" t="s">
        <v>11</v>
      </c>
      <c r="L4" s="291" t="s">
        <v>16</v>
      </c>
      <c r="M4" s="139" t="s">
        <v>12</v>
      </c>
      <c r="N4" s="291"/>
      <c r="O4" s="290" t="s">
        <v>20</v>
      </c>
      <c r="P4" s="290" t="s">
        <v>0</v>
      </c>
      <c r="Q4" s="163" t="s">
        <v>13</v>
      </c>
      <c r="R4" s="291" t="s">
        <v>21</v>
      </c>
      <c r="S4" s="23" t="s">
        <v>17</v>
      </c>
      <c r="T4" s="25" t="s">
        <v>18</v>
      </c>
      <c r="U4" s="111"/>
      <c r="V4" s="111"/>
      <c r="W4" s="111"/>
      <c r="X4" s="111"/>
      <c r="Y4" s="111"/>
      <c r="Z4" s="111"/>
      <c r="AA4" s="111"/>
      <c r="AB4" s="111"/>
      <c r="AC4" s="111"/>
      <c r="AD4" s="111"/>
    </row>
    <row r="5" spans="1:30" ht="15.75">
      <c r="A5" s="111"/>
      <c r="B5" s="171"/>
      <c r="C5" s="185"/>
      <c r="D5" s="185"/>
      <c r="E5" s="292"/>
      <c r="F5" s="292"/>
      <c r="G5" s="292"/>
      <c r="H5" s="292"/>
      <c r="I5" s="293"/>
      <c r="J5" s="292"/>
      <c r="K5" s="292"/>
      <c r="L5" s="292"/>
      <c r="M5" s="292"/>
      <c r="N5" s="292"/>
      <c r="O5" s="292"/>
      <c r="P5" s="171"/>
      <c r="Q5" s="292"/>
      <c r="R5" s="292"/>
      <c r="S5" s="156">
        <f aca="true" t="shared" si="0" ref="S5:S13">MAX(E5,G5,I5,K5,M5)</f>
        <v>0</v>
      </c>
      <c r="T5" s="157">
        <f aca="true" t="shared" si="1" ref="T5:T13">MIN(E5,G5,I5,K5,M5)</f>
        <v>0</v>
      </c>
      <c r="U5" s="106"/>
      <c r="V5" s="106"/>
      <c r="W5" s="106"/>
      <c r="X5" s="106"/>
      <c r="Y5" s="106"/>
      <c r="Z5" s="106"/>
      <c r="AA5" s="111"/>
      <c r="AB5" s="111"/>
      <c r="AC5" s="111"/>
      <c r="AD5" s="111"/>
    </row>
    <row r="6" spans="1:30" ht="15.75">
      <c r="A6" s="111"/>
      <c r="B6" s="186"/>
      <c r="C6" s="187"/>
      <c r="D6" s="187"/>
      <c r="E6" s="284"/>
      <c r="F6" s="284"/>
      <c r="G6" s="284"/>
      <c r="H6" s="284"/>
      <c r="I6" s="286"/>
      <c r="J6" s="284"/>
      <c r="K6" s="284"/>
      <c r="L6" s="284"/>
      <c r="M6" s="284"/>
      <c r="N6" s="284"/>
      <c r="O6" s="292"/>
      <c r="P6" s="186"/>
      <c r="Q6" s="284"/>
      <c r="R6" s="292"/>
      <c r="S6" s="156">
        <f t="shared" si="0"/>
        <v>0</v>
      </c>
      <c r="T6" s="157">
        <f t="shared" si="1"/>
        <v>0</v>
      </c>
      <c r="U6" s="106"/>
      <c r="V6" s="106"/>
      <c r="W6" s="106"/>
      <c r="X6" s="106"/>
      <c r="Y6" s="106"/>
      <c r="Z6" s="106"/>
      <c r="AA6" s="111"/>
      <c r="AB6" s="111"/>
      <c r="AC6" s="111"/>
      <c r="AD6" s="111"/>
    </row>
    <row r="7" spans="1:30" ht="15.75">
      <c r="A7" s="111"/>
      <c r="B7" s="186"/>
      <c r="C7" s="187"/>
      <c r="D7" s="187"/>
      <c r="E7" s="284"/>
      <c r="F7" s="284"/>
      <c r="G7" s="284"/>
      <c r="H7" s="284"/>
      <c r="I7" s="286"/>
      <c r="J7" s="284"/>
      <c r="K7" s="284"/>
      <c r="L7" s="284"/>
      <c r="M7" s="284"/>
      <c r="N7" s="284"/>
      <c r="O7" s="292"/>
      <c r="P7" s="186"/>
      <c r="Q7" s="284"/>
      <c r="R7" s="292"/>
      <c r="S7" s="156">
        <f t="shared" si="0"/>
        <v>0</v>
      </c>
      <c r="T7" s="157">
        <f t="shared" si="1"/>
        <v>0</v>
      </c>
      <c r="U7" s="106"/>
      <c r="V7" s="106"/>
      <c r="W7" s="106"/>
      <c r="X7" s="106"/>
      <c r="Y7" s="106"/>
      <c r="Z7" s="106"/>
      <c r="AA7" s="111"/>
      <c r="AB7" s="111"/>
      <c r="AC7" s="111"/>
      <c r="AD7" s="111"/>
    </row>
    <row r="8" spans="1:30" ht="15.75">
      <c r="A8" s="111"/>
      <c r="B8" s="186"/>
      <c r="C8" s="187"/>
      <c r="D8" s="187"/>
      <c r="E8" s="284"/>
      <c r="F8" s="284"/>
      <c r="G8" s="284"/>
      <c r="H8" s="284"/>
      <c r="I8" s="286"/>
      <c r="J8" s="284"/>
      <c r="K8" s="284"/>
      <c r="L8" s="284"/>
      <c r="M8" s="284"/>
      <c r="N8" s="284"/>
      <c r="O8" s="292"/>
      <c r="P8" s="186"/>
      <c r="Q8" s="284"/>
      <c r="R8" s="292"/>
      <c r="S8" s="156">
        <f t="shared" si="0"/>
        <v>0</v>
      </c>
      <c r="T8" s="157">
        <f t="shared" si="1"/>
        <v>0</v>
      </c>
      <c r="U8" s="106"/>
      <c r="V8" s="106"/>
      <c r="W8" s="106"/>
      <c r="X8" s="106"/>
      <c r="Y8" s="106"/>
      <c r="Z8" s="106"/>
      <c r="AA8" s="111"/>
      <c r="AB8" s="111"/>
      <c r="AC8" s="111"/>
      <c r="AD8" s="111"/>
    </row>
    <row r="9" spans="1:30" ht="15.75">
      <c r="A9" s="111"/>
      <c r="B9" s="186"/>
      <c r="C9" s="187"/>
      <c r="D9" s="187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92"/>
      <c r="P9" s="186"/>
      <c r="Q9" s="284"/>
      <c r="R9" s="292"/>
      <c r="S9" s="156">
        <f t="shared" si="0"/>
        <v>0</v>
      </c>
      <c r="T9" s="157">
        <f t="shared" si="1"/>
        <v>0</v>
      </c>
      <c r="U9" s="106"/>
      <c r="V9" s="106"/>
      <c r="W9" s="106"/>
      <c r="X9" s="106"/>
      <c r="Y9" s="106"/>
      <c r="Z9" s="106"/>
      <c r="AA9" s="111"/>
      <c r="AB9" s="111"/>
      <c r="AC9" s="111"/>
      <c r="AD9" s="111"/>
    </row>
    <row r="10" spans="1:30" ht="15.75">
      <c r="A10" s="111"/>
      <c r="B10" s="186"/>
      <c r="C10" s="187"/>
      <c r="D10" s="187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92"/>
      <c r="P10" s="186"/>
      <c r="Q10" s="284"/>
      <c r="R10" s="292"/>
      <c r="S10" s="156">
        <f t="shared" si="0"/>
        <v>0</v>
      </c>
      <c r="T10" s="157">
        <f t="shared" si="1"/>
        <v>0</v>
      </c>
      <c r="U10" s="106"/>
      <c r="V10" s="106"/>
      <c r="W10" s="106"/>
      <c r="X10" s="106"/>
      <c r="Y10" s="106"/>
      <c r="Z10" s="106"/>
      <c r="AA10" s="111"/>
      <c r="AB10" s="111"/>
      <c r="AC10" s="111"/>
      <c r="AD10" s="111"/>
    </row>
    <row r="11" spans="1:30" ht="15.75">
      <c r="A11" s="111"/>
      <c r="B11" s="186"/>
      <c r="C11" s="187"/>
      <c r="D11" s="187"/>
      <c r="E11" s="284"/>
      <c r="F11" s="284"/>
      <c r="G11" s="284"/>
      <c r="H11" s="284"/>
      <c r="I11" s="286"/>
      <c r="J11" s="284"/>
      <c r="K11" s="284"/>
      <c r="L11" s="284"/>
      <c r="M11" s="284"/>
      <c r="N11" s="284"/>
      <c r="O11" s="292"/>
      <c r="P11" s="186"/>
      <c r="Q11" s="284"/>
      <c r="R11" s="292"/>
      <c r="S11" s="156">
        <f t="shared" si="0"/>
        <v>0</v>
      </c>
      <c r="T11" s="157">
        <f t="shared" si="1"/>
        <v>0</v>
      </c>
      <c r="U11" s="106"/>
      <c r="V11" s="106"/>
      <c r="W11" s="106"/>
      <c r="X11" s="106"/>
      <c r="Y11" s="106"/>
      <c r="Z11" s="106"/>
      <c r="AA11" s="111"/>
      <c r="AB11" s="111"/>
      <c r="AC11" s="111"/>
      <c r="AD11" s="111"/>
    </row>
    <row r="12" spans="1:30" ht="15.75" customHeight="1">
      <c r="A12" s="111"/>
      <c r="B12" s="186"/>
      <c r="C12" s="187"/>
      <c r="D12" s="187"/>
      <c r="E12" s="284"/>
      <c r="F12" s="284"/>
      <c r="G12" s="284"/>
      <c r="H12" s="284"/>
      <c r="I12" s="286"/>
      <c r="J12" s="284"/>
      <c r="K12" s="284"/>
      <c r="L12" s="284"/>
      <c r="M12" s="284"/>
      <c r="N12" s="284"/>
      <c r="O12" s="292"/>
      <c r="P12" s="186"/>
      <c r="Q12" s="284"/>
      <c r="R12" s="292"/>
      <c r="S12" s="156">
        <f t="shared" si="0"/>
        <v>0</v>
      </c>
      <c r="T12" s="157">
        <f t="shared" si="1"/>
        <v>0</v>
      </c>
      <c r="U12" s="106"/>
      <c r="V12" s="106"/>
      <c r="W12" s="106"/>
      <c r="X12" s="106"/>
      <c r="Y12" s="106"/>
      <c r="Z12" s="106"/>
      <c r="AA12" s="111"/>
      <c r="AB12" s="111"/>
      <c r="AC12" s="111"/>
      <c r="AD12" s="111"/>
    </row>
    <row r="13" spans="1:30" ht="15.75" customHeight="1">
      <c r="A13" s="111"/>
      <c r="B13" s="186"/>
      <c r="C13" s="187"/>
      <c r="D13" s="187"/>
      <c r="E13" s="284"/>
      <c r="F13" s="284"/>
      <c r="G13" s="284"/>
      <c r="H13" s="284"/>
      <c r="I13" s="286"/>
      <c r="J13" s="284"/>
      <c r="K13" s="284"/>
      <c r="L13" s="284"/>
      <c r="M13" s="284"/>
      <c r="N13" s="284"/>
      <c r="O13" s="292"/>
      <c r="P13" s="186"/>
      <c r="Q13" s="284"/>
      <c r="R13" s="292"/>
      <c r="S13" s="156">
        <f t="shared" si="0"/>
        <v>0</v>
      </c>
      <c r="T13" s="157">
        <f t="shared" si="1"/>
        <v>0</v>
      </c>
      <c r="U13" s="106"/>
      <c r="V13" s="106"/>
      <c r="W13" s="106"/>
      <c r="X13" s="106"/>
      <c r="Y13" s="106"/>
      <c r="Z13" s="106"/>
      <c r="AA13" s="111"/>
      <c r="AB13" s="111"/>
      <c r="AC13" s="111"/>
      <c r="AD13" s="111"/>
    </row>
    <row r="14" spans="1:30" ht="15.75" customHeight="1">
      <c r="A14" s="111"/>
      <c r="B14" s="186"/>
      <c r="C14" s="187"/>
      <c r="D14" s="187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92"/>
      <c r="P14" s="186"/>
      <c r="Q14" s="284"/>
      <c r="R14" s="292"/>
      <c r="S14" s="156">
        <f>MAX(E14,G14,I14,K14,M14)</f>
        <v>0</v>
      </c>
      <c r="T14" s="156">
        <f>MIN(E14,G14,I14,K14,M14)</f>
        <v>0</v>
      </c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</row>
    <row r="15" spans="1:30" ht="15.75" customHeight="1">
      <c r="A15" s="111"/>
      <c r="B15" s="186"/>
      <c r="C15" s="187"/>
      <c r="D15" s="187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92"/>
      <c r="P15" s="186"/>
      <c r="Q15" s="284"/>
      <c r="R15" s="292"/>
      <c r="S15" s="156">
        <f>MAX(E15,G15,I15,K15,M15)</f>
        <v>0</v>
      </c>
      <c r="T15" s="156">
        <f>MIN(E15,G15,I15,K15,M15)</f>
        <v>0</v>
      </c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</row>
    <row r="16" spans="1:30" ht="15.75" customHeight="1">
      <c r="A16" s="111"/>
      <c r="B16" s="186"/>
      <c r="C16" s="187"/>
      <c r="D16" s="187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92"/>
      <c r="P16" s="186"/>
      <c r="Q16" s="284"/>
      <c r="R16" s="292"/>
      <c r="S16" s="26">
        <f>MAX(E16,G16,I16,K16,M16)</f>
        <v>0</v>
      </c>
      <c r="T16" s="26">
        <f>MIN(E16,G16,I16,K16,M16)</f>
        <v>0</v>
      </c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</row>
    <row r="17" spans="1:30" ht="15.75" customHeight="1">
      <c r="A17" s="111"/>
      <c r="B17" s="186"/>
      <c r="C17" s="187"/>
      <c r="D17" s="187"/>
      <c r="E17" s="284"/>
      <c r="F17" s="284"/>
      <c r="G17" s="284"/>
      <c r="H17" s="284"/>
      <c r="I17" s="286"/>
      <c r="J17" s="284"/>
      <c r="K17" s="284"/>
      <c r="L17" s="284"/>
      <c r="M17" s="284"/>
      <c r="N17" s="284"/>
      <c r="O17" s="292"/>
      <c r="P17" s="186"/>
      <c r="Q17" s="284"/>
      <c r="R17" s="292"/>
      <c r="S17" s="26">
        <f>MAX(E17,G17,I17,K17,M17)</f>
        <v>0</v>
      </c>
      <c r="T17" s="26">
        <f>MIN(E17,G17,I17,K17,M17)</f>
        <v>0</v>
      </c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</row>
    <row r="18" spans="1:30" ht="15.75" customHeight="1">
      <c r="A18" s="111"/>
      <c r="B18" s="186"/>
      <c r="C18" s="187"/>
      <c r="D18" s="187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92"/>
      <c r="P18" s="186"/>
      <c r="Q18" s="284"/>
      <c r="R18" s="292"/>
      <c r="S18" s="26">
        <f aca="true" t="shared" si="2" ref="S18:S33">IF(B18="","",MAX(E18,G18,I18,K18,M18))</f>
      </c>
      <c r="T18" s="26">
        <f aca="true" t="shared" si="3" ref="T18:T33">IF(B18="","",MIN(E18,G18,I18,K18,M18))</f>
      </c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</row>
    <row r="19" spans="1:30" ht="15.75" customHeight="1">
      <c r="A19" s="111"/>
      <c r="B19" s="284"/>
      <c r="C19" s="284"/>
      <c r="D19" s="284"/>
      <c r="E19" s="284"/>
      <c r="F19" s="284"/>
      <c r="G19" s="284"/>
      <c r="H19" s="284"/>
      <c r="I19" s="284"/>
      <c r="J19" s="284"/>
      <c r="K19" s="284"/>
      <c r="L19" s="284"/>
      <c r="M19" s="284"/>
      <c r="N19" s="284"/>
      <c r="O19" s="292"/>
      <c r="P19" s="171"/>
      <c r="Q19" s="292"/>
      <c r="R19" s="292"/>
      <c r="S19" s="26">
        <f t="shared" si="2"/>
      </c>
      <c r="T19" s="26">
        <f t="shared" si="3"/>
      </c>
      <c r="U19" s="111"/>
      <c r="V19" s="111"/>
      <c r="W19" s="111"/>
      <c r="X19" s="111"/>
      <c r="Y19" s="111"/>
      <c r="Z19" s="111"/>
      <c r="AA19" s="111"/>
      <c r="AB19" s="111"/>
      <c r="AC19" s="111"/>
      <c r="AD19" s="111"/>
    </row>
    <row r="20" spans="1:30" ht="15.75" customHeight="1">
      <c r="A20" s="111"/>
      <c r="B20" s="284"/>
      <c r="C20" s="284"/>
      <c r="D20" s="284"/>
      <c r="E20" s="284"/>
      <c r="F20" s="284"/>
      <c r="G20" s="284"/>
      <c r="H20" s="284"/>
      <c r="I20" s="284"/>
      <c r="J20" s="284"/>
      <c r="K20" s="284"/>
      <c r="L20" s="284"/>
      <c r="M20" s="284"/>
      <c r="N20" s="284"/>
      <c r="O20" s="292"/>
      <c r="P20" s="171"/>
      <c r="Q20" s="292"/>
      <c r="R20" s="292"/>
      <c r="S20" s="26">
        <f t="shared" si="2"/>
      </c>
      <c r="T20" s="26">
        <f t="shared" si="3"/>
      </c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</row>
    <row r="21" spans="1:30" ht="15.75" customHeight="1">
      <c r="A21" s="111"/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92"/>
      <c r="P21" s="171"/>
      <c r="Q21" s="292"/>
      <c r="R21" s="292"/>
      <c r="S21" s="26">
        <f t="shared" si="2"/>
      </c>
      <c r="T21" s="26">
        <f t="shared" si="3"/>
      </c>
      <c r="U21" s="111"/>
      <c r="V21" s="111"/>
      <c r="W21" s="111"/>
      <c r="X21" s="111"/>
      <c r="Y21" s="111"/>
      <c r="Z21" s="111"/>
      <c r="AA21" s="111"/>
      <c r="AB21" s="111"/>
      <c r="AC21" s="111"/>
      <c r="AD21" s="111"/>
    </row>
    <row r="22" spans="1:30" ht="15.75" customHeight="1">
      <c r="A22" s="111"/>
      <c r="B22" s="284"/>
      <c r="C22" s="284"/>
      <c r="D22" s="284"/>
      <c r="E22" s="284"/>
      <c r="F22" s="284"/>
      <c r="G22" s="284"/>
      <c r="H22" s="284"/>
      <c r="I22" s="284"/>
      <c r="J22" s="284"/>
      <c r="K22" s="284"/>
      <c r="L22" s="284"/>
      <c r="M22" s="284"/>
      <c r="N22" s="284"/>
      <c r="O22" s="292"/>
      <c r="P22" s="171"/>
      <c r="Q22" s="292"/>
      <c r="R22" s="292"/>
      <c r="S22" s="26">
        <f t="shared" si="2"/>
      </c>
      <c r="T22" s="26">
        <f t="shared" si="3"/>
      </c>
      <c r="U22" s="111"/>
      <c r="V22" s="111"/>
      <c r="W22" s="111"/>
      <c r="X22" s="111"/>
      <c r="Y22" s="111"/>
      <c r="Z22" s="111"/>
      <c r="AA22" s="111"/>
      <c r="AB22" s="111"/>
      <c r="AC22" s="111"/>
      <c r="AD22" s="111"/>
    </row>
    <row r="23" spans="1:30" ht="15.75" customHeight="1">
      <c r="A23" s="111"/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92"/>
      <c r="P23" s="171"/>
      <c r="Q23" s="292"/>
      <c r="R23" s="292"/>
      <c r="S23" s="26">
        <f t="shared" si="2"/>
      </c>
      <c r="T23" s="26">
        <f t="shared" si="3"/>
      </c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</row>
    <row r="24" spans="1:30" ht="15.75" customHeight="1">
      <c r="A24" s="111"/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92"/>
      <c r="P24" s="171"/>
      <c r="Q24" s="292"/>
      <c r="R24" s="292"/>
      <c r="S24" s="26">
        <f t="shared" si="2"/>
      </c>
      <c r="T24" s="26">
        <f t="shared" si="3"/>
      </c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</row>
    <row r="25" spans="1:30" ht="15.75" customHeight="1">
      <c r="A25" s="111"/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92"/>
      <c r="P25" s="171"/>
      <c r="Q25" s="292"/>
      <c r="R25" s="292"/>
      <c r="S25" s="26">
        <f t="shared" si="2"/>
      </c>
      <c r="T25" s="26">
        <f t="shared" si="3"/>
      </c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</row>
    <row r="26" spans="1:30" ht="15.75" customHeight="1">
      <c r="A26" s="111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92"/>
      <c r="P26" s="171"/>
      <c r="Q26" s="292"/>
      <c r="R26" s="292"/>
      <c r="S26" s="26">
        <f t="shared" si="2"/>
      </c>
      <c r="T26" s="26">
        <f t="shared" si="3"/>
      </c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</row>
    <row r="27" spans="1:30" ht="15.75" customHeight="1">
      <c r="A27" s="111"/>
      <c r="B27" s="284"/>
      <c r="C27" s="284"/>
      <c r="D27" s="284"/>
      <c r="E27" s="284"/>
      <c r="F27" s="284"/>
      <c r="G27" s="284"/>
      <c r="H27" s="284"/>
      <c r="I27" s="284"/>
      <c r="J27" s="284"/>
      <c r="K27" s="284"/>
      <c r="L27" s="284"/>
      <c r="M27" s="284"/>
      <c r="N27" s="284"/>
      <c r="O27" s="292"/>
      <c r="P27" s="171"/>
      <c r="Q27" s="292"/>
      <c r="R27" s="292"/>
      <c r="S27" s="26">
        <f t="shared" si="2"/>
      </c>
      <c r="T27" s="26">
        <f t="shared" si="3"/>
      </c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</row>
    <row r="28" spans="1:30" ht="15.75" customHeight="1" hidden="1">
      <c r="A28" s="111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6"/>
      <c r="P28" s="12"/>
      <c r="Q28" s="26"/>
      <c r="R28" s="26"/>
      <c r="S28" s="26">
        <f t="shared" si="2"/>
      </c>
      <c r="T28" s="26">
        <f t="shared" si="3"/>
      </c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</row>
    <row r="29" spans="1:30" ht="15.75" customHeight="1" hidden="1">
      <c r="A29" s="111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6"/>
      <c r="P29" s="12"/>
      <c r="Q29" s="26"/>
      <c r="R29" s="26"/>
      <c r="S29" s="26">
        <f t="shared" si="2"/>
      </c>
      <c r="T29" s="26">
        <f t="shared" si="3"/>
      </c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</row>
    <row r="30" spans="1:30" ht="15.75" customHeight="1" hidden="1">
      <c r="A30" s="111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6"/>
      <c r="P30" s="12"/>
      <c r="Q30" s="26"/>
      <c r="R30" s="26"/>
      <c r="S30" s="26">
        <f t="shared" si="2"/>
      </c>
      <c r="T30" s="26">
        <f t="shared" si="3"/>
      </c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</row>
    <row r="31" spans="1:30" ht="15.75" customHeight="1" hidden="1">
      <c r="A31" s="11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6"/>
      <c r="P31" s="12"/>
      <c r="Q31" s="26"/>
      <c r="R31" s="26"/>
      <c r="S31" s="26">
        <f t="shared" si="2"/>
      </c>
      <c r="T31" s="26">
        <f t="shared" si="3"/>
      </c>
      <c r="U31" s="111"/>
      <c r="V31" s="111"/>
      <c r="W31" s="111"/>
      <c r="X31" s="111"/>
      <c r="Y31" s="111"/>
      <c r="Z31" s="111"/>
      <c r="AA31" s="111"/>
      <c r="AB31" s="111"/>
      <c r="AC31" s="111"/>
      <c r="AD31" s="111"/>
    </row>
    <row r="32" spans="1:30" ht="15.75" customHeight="1" hidden="1">
      <c r="A32" s="111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12"/>
      <c r="Q32" s="26"/>
      <c r="R32" s="26"/>
      <c r="S32" s="26">
        <f t="shared" si="2"/>
      </c>
      <c r="T32" s="26">
        <f t="shared" si="3"/>
      </c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</row>
    <row r="33" spans="1:30" ht="15.75" customHeight="1" hidden="1">
      <c r="A33" s="111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6"/>
      <c r="P33" s="12"/>
      <c r="Q33" s="26"/>
      <c r="R33" s="26"/>
      <c r="S33" s="26">
        <f t="shared" si="2"/>
      </c>
      <c r="T33" s="26">
        <f t="shared" si="3"/>
      </c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</row>
    <row r="34" spans="1:30" ht="6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22"/>
      <c r="T34" s="122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</row>
    <row r="35" spans="1:30" ht="6.7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22"/>
      <c r="T35" s="122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</row>
    <row r="36" spans="1:30" ht="5.2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22"/>
      <c r="T36" s="122"/>
      <c r="U36" s="111"/>
      <c r="V36" s="111"/>
      <c r="W36" s="111"/>
      <c r="X36" s="111"/>
      <c r="Y36" s="111"/>
      <c r="Z36" s="111"/>
      <c r="AA36" s="111"/>
      <c r="AB36" s="111"/>
      <c r="AC36" s="111"/>
      <c r="AD36" s="111"/>
    </row>
    <row r="37" spans="1:30" ht="9" customHeight="1">
      <c r="A37" s="111"/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</row>
    <row r="38" spans="1:30" ht="6.75" customHeight="1" thickBot="1">
      <c r="A38" s="111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</row>
    <row r="39" spans="1:30" ht="13.5" thickBot="1">
      <c r="A39" s="111"/>
      <c r="B39" s="235" t="s">
        <v>88</v>
      </c>
      <c r="C39" s="112"/>
      <c r="D39" s="112"/>
      <c r="E39" s="236">
        <f>IF(COUNTIF(E5:E33,"&gt;40"),"Hiba","")</f>
      </c>
      <c r="F39" s="236">
        <f aca="true" t="shared" si="4" ref="F39:M39">IF(COUNTIF(F5:F33,"&gt;40"),"Hiba","")</f>
      </c>
      <c r="G39" s="236">
        <f t="shared" si="4"/>
      </c>
      <c r="H39" s="236">
        <f t="shared" si="4"/>
      </c>
      <c r="I39" s="236">
        <f t="shared" si="4"/>
      </c>
      <c r="J39" s="236">
        <f t="shared" si="4"/>
      </c>
      <c r="K39" s="236">
        <f t="shared" si="4"/>
      </c>
      <c r="L39" s="236">
        <f t="shared" si="4"/>
      </c>
      <c r="M39" s="236">
        <f t="shared" si="4"/>
      </c>
      <c r="N39" s="112"/>
      <c r="O39" s="112"/>
      <c r="P39" s="112"/>
      <c r="Q39" s="112"/>
      <c r="R39" s="112"/>
      <c r="S39" s="112"/>
      <c r="T39" s="112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</row>
    <row r="40" spans="1:30" ht="13.5" thickBo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</row>
    <row r="41" spans="1:30" ht="13.5" thickBot="1">
      <c r="A41" s="111"/>
      <c r="B41" s="235" t="s">
        <v>88</v>
      </c>
      <c r="C41" s="112"/>
      <c r="D41" s="112"/>
      <c r="E41" s="236">
        <f>IF(R_fut_sors!F2=COUNT(E5:E33),"","!!!!")</f>
      </c>
      <c r="F41" s="236">
        <f>IF(R_fut_sors!G2=COUNT(F5:F33),"","!!!!")</f>
      </c>
      <c r="G41" s="236">
        <f>IF(R_fut_sors!F2=COUNT(G5:G33),"","!!!!")</f>
      </c>
      <c r="H41" s="236">
        <f>IF(R_fut_sors!I2=COUNT(H5:H33),"","!!!!")</f>
      </c>
      <c r="I41" s="236">
        <f>IF(R_fut_sors!F2=COUNT(I5:I33),"","!!!!")</f>
      </c>
      <c r="J41" s="236">
        <f>IF(R_fut_sors!K2=COUNT(J5:J33),"","!!!!")</f>
      </c>
      <c r="K41" s="236">
        <f>IF(R_fut_sors!F2=COUNT(K5:K33),"","!!!!")</f>
      </c>
      <c r="L41" s="236">
        <f>IF(R_fut_sors!M2=COUNT(L5:L33),"","!!!!")</f>
      </c>
      <c r="M41" s="236">
        <f>IF(R_fut_sors!F2=COUNT(M5:M33),"","!!!!")</f>
      </c>
      <c r="N41" s="112"/>
      <c r="O41" s="112"/>
      <c r="P41" s="112"/>
      <c r="Q41" s="112"/>
      <c r="R41" s="112"/>
      <c r="S41" s="112"/>
      <c r="T41" s="112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</row>
    <row r="42" spans="1:30" ht="12.75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</row>
    <row r="43" spans="1:30" ht="12.75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</row>
    <row r="44" spans="1:30" ht="12.75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</row>
    <row r="45" spans="1:30" ht="12.75">
      <c r="A45" s="111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</row>
    <row r="46" spans="1:30" ht="12.75">
      <c r="A46" s="111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</row>
    <row r="47" spans="1:30" ht="12.75">
      <c r="A47" s="111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</row>
    <row r="48" spans="1:30" ht="12.75">
      <c r="A48" s="111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</row>
    <row r="49" spans="1:30" ht="12.75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</row>
    <row r="50" spans="1:30" ht="12.75">
      <c r="A50" s="111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1"/>
      <c r="V50" s="111"/>
      <c r="W50" s="111"/>
      <c r="X50" s="111"/>
      <c r="Y50" s="111"/>
      <c r="Z50" s="111"/>
      <c r="AA50" s="111"/>
      <c r="AB50" s="111"/>
      <c r="AC50" s="111"/>
      <c r="AD50" s="111"/>
    </row>
    <row r="51" ht="12.75"/>
    <row r="53" ht="12.75"/>
    <row r="54" ht="12.75"/>
    <row r="55" ht="12.75"/>
  </sheetData>
  <sheetProtection/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Y38"/>
  <sheetViews>
    <sheetView zoomScalePageLayoutView="0" workbookViewId="0" topLeftCell="A1">
      <selection activeCell="W14" sqref="W14"/>
    </sheetView>
  </sheetViews>
  <sheetFormatPr defaultColWidth="9.140625" defaultRowHeight="12.75"/>
  <cols>
    <col min="1" max="1" width="8.421875" style="20" customWidth="1"/>
    <col min="2" max="2" width="4.7109375" style="20" customWidth="1"/>
    <col min="3" max="3" width="1.7109375" style="3" customWidth="1"/>
    <col min="4" max="4" width="4.7109375" style="20" customWidth="1"/>
    <col min="5" max="5" width="1.7109375" style="3" customWidth="1"/>
    <col min="6" max="6" width="4.7109375" style="20" customWidth="1"/>
    <col min="7" max="7" width="1.7109375" style="3" customWidth="1"/>
    <col min="8" max="8" width="4.7109375" style="20" customWidth="1"/>
    <col min="9" max="9" width="1.7109375" style="3" customWidth="1"/>
    <col min="10" max="10" width="4.7109375" style="20" customWidth="1"/>
    <col min="11" max="11" width="1.7109375" style="3" customWidth="1"/>
    <col min="12" max="12" width="5.57421875" style="24" customWidth="1"/>
    <col min="13" max="13" width="8.421875" style="24" customWidth="1"/>
    <col min="14" max="14" width="3.57421875" style="20" hidden="1" customWidth="1"/>
    <col min="15" max="15" width="3.421875" style="20" hidden="1" customWidth="1"/>
    <col min="16" max="16" width="8.28125" style="20" bestFit="1" customWidth="1"/>
    <col min="17" max="17" width="37.8515625" style="33" customWidth="1"/>
    <col min="18" max="18" width="24.7109375" style="31" customWidth="1"/>
    <col min="19" max="19" width="2.57421875" style="20" hidden="1" customWidth="1"/>
    <col min="20" max="20" width="18.00390625" style="20" customWidth="1"/>
    <col min="21" max="21" width="4.28125" style="20" hidden="1" customWidth="1"/>
    <col min="22" max="16384" width="9.140625" style="20" customWidth="1"/>
  </cols>
  <sheetData>
    <row r="1" spans="1:25" ht="30" customHeight="1" thickBot="1">
      <c r="A1" s="142"/>
      <c r="B1" s="138"/>
      <c r="C1" s="159"/>
      <c r="D1" s="138"/>
      <c r="E1" s="159"/>
      <c r="F1" s="143"/>
      <c r="G1" s="159"/>
      <c r="H1" s="143"/>
      <c r="I1" s="159"/>
      <c r="J1" s="137" t="s">
        <v>86</v>
      </c>
      <c r="K1" s="159"/>
      <c r="L1" s="139"/>
      <c r="M1" s="139"/>
      <c r="N1" s="138"/>
      <c r="O1" s="138"/>
      <c r="P1" s="138"/>
      <c r="Q1" s="140"/>
      <c r="R1" s="141"/>
      <c r="T1" s="234" t="s">
        <v>88</v>
      </c>
      <c r="V1" s="111"/>
      <c r="W1" s="111"/>
      <c r="X1" s="111"/>
      <c r="Y1" s="111"/>
    </row>
    <row r="2" spans="1:25" ht="19.5" customHeight="1" thickBot="1">
      <c r="A2" s="209" t="s">
        <v>23</v>
      </c>
      <c r="B2" s="210"/>
      <c r="C2" s="159"/>
      <c r="D2" s="210" t="str">
        <f>Rajtlista!E1</f>
        <v>Boogie - Woogie</v>
      </c>
      <c r="E2" s="159"/>
      <c r="F2" s="210"/>
      <c r="G2" s="159"/>
      <c r="H2" s="211"/>
      <c r="I2" s="159"/>
      <c r="J2" s="210" t="s">
        <v>14</v>
      </c>
      <c r="K2" s="159"/>
      <c r="L2" s="212"/>
      <c r="M2" s="213"/>
      <c r="N2" s="145"/>
      <c r="O2" s="134"/>
      <c r="P2" s="214">
        <v>0</v>
      </c>
      <c r="Q2" s="227"/>
      <c r="R2" s="228"/>
      <c r="S2" s="111">
        <f>Dont_sors!F2</f>
        <v>5</v>
      </c>
      <c r="T2" s="111"/>
      <c r="U2" s="111"/>
      <c r="V2" s="111"/>
      <c r="W2" s="111"/>
      <c r="X2" s="111"/>
      <c r="Y2" s="111"/>
    </row>
    <row r="3" spans="1:25" ht="16.5" thickBot="1">
      <c r="A3" s="111"/>
      <c r="B3" s="111"/>
      <c r="C3" s="206"/>
      <c r="D3" s="111"/>
      <c r="E3" s="206"/>
      <c r="F3" s="111"/>
      <c r="G3" s="206"/>
      <c r="H3" s="111"/>
      <c r="I3" s="206"/>
      <c r="J3" s="111"/>
      <c r="K3" s="206"/>
      <c r="L3" s="112"/>
      <c r="M3" s="112"/>
      <c r="N3" s="111"/>
      <c r="O3" s="111"/>
      <c r="P3" s="111"/>
      <c r="Q3" s="227"/>
      <c r="R3" s="228"/>
      <c r="S3" s="111"/>
      <c r="T3" s="111"/>
      <c r="U3" s="111"/>
      <c r="V3" s="111"/>
      <c r="W3" s="111"/>
      <c r="X3" s="111"/>
      <c r="Y3" s="111"/>
    </row>
    <row r="4" spans="1:25" ht="16.5" thickBot="1">
      <c r="A4" s="269" t="s">
        <v>0</v>
      </c>
      <c r="B4" s="270" t="s">
        <v>8</v>
      </c>
      <c r="C4" s="271"/>
      <c r="D4" s="270" t="s">
        <v>9</v>
      </c>
      <c r="E4" s="271"/>
      <c r="F4" s="269" t="s">
        <v>10</v>
      </c>
      <c r="G4" s="272"/>
      <c r="H4" s="273" t="s">
        <v>11</v>
      </c>
      <c r="I4" s="272"/>
      <c r="J4" s="273" t="s">
        <v>12</v>
      </c>
      <c r="K4" s="272"/>
      <c r="L4" s="274" t="s">
        <v>19</v>
      </c>
      <c r="M4" s="270" t="s">
        <v>24</v>
      </c>
      <c r="N4" s="275" t="s">
        <v>17</v>
      </c>
      <c r="O4" s="276" t="s">
        <v>18</v>
      </c>
      <c r="P4" s="269" t="s">
        <v>0</v>
      </c>
      <c r="Q4" s="272" t="s">
        <v>1</v>
      </c>
      <c r="R4" s="270" t="s">
        <v>2</v>
      </c>
      <c r="T4" s="111"/>
      <c r="U4" s="20" t="s">
        <v>87</v>
      </c>
      <c r="V4" s="111"/>
      <c r="W4" s="111"/>
      <c r="X4" s="111"/>
      <c r="Y4" s="111"/>
    </row>
    <row r="5" spans="1:25" ht="15.75">
      <c r="A5" s="277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9"/>
      <c r="O5" s="279"/>
      <c r="P5" s="280"/>
      <c r="Q5" s="281"/>
      <c r="R5" s="282"/>
      <c r="T5" s="216">
        <f aca="true" t="shared" si="0" ref="T5:T13">IF(M5&lt;&gt;"",(IF(OR(M5=M4,M5=M6,M5=M7),"Azonos pont !","")),"")</f>
      </c>
      <c r="U5" s="20">
        <f aca="true" t="shared" si="1" ref="U5:U15">SUM(B5,D5,F5,H5,J5)</f>
        <v>0</v>
      </c>
      <c r="V5" s="111"/>
      <c r="W5" s="111"/>
      <c r="X5" s="111"/>
      <c r="Y5" s="111"/>
    </row>
    <row r="6" spans="1:25" ht="15.75">
      <c r="A6" s="283"/>
      <c r="B6" s="284"/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5"/>
      <c r="O6" s="285"/>
      <c r="P6" s="186"/>
      <c r="Q6" s="187"/>
      <c r="R6" s="188"/>
      <c r="T6" s="216">
        <f t="shared" si="0"/>
      </c>
      <c r="U6" s="20">
        <f t="shared" si="1"/>
        <v>0</v>
      </c>
      <c r="V6" s="111"/>
      <c r="W6" s="111"/>
      <c r="X6" s="111"/>
      <c r="Y6" s="111"/>
    </row>
    <row r="7" spans="1:25" ht="15.75">
      <c r="A7" s="283"/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84"/>
      <c r="M7" s="284"/>
      <c r="N7" s="285"/>
      <c r="O7" s="285"/>
      <c r="P7" s="186"/>
      <c r="Q7" s="187"/>
      <c r="R7" s="188"/>
      <c r="T7" s="216">
        <f t="shared" si="0"/>
      </c>
      <c r="U7" s="20">
        <f t="shared" si="1"/>
        <v>0</v>
      </c>
      <c r="V7" s="111"/>
      <c r="W7" s="111"/>
      <c r="X7" s="111"/>
      <c r="Y7" s="111"/>
    </row>
    <row r="8" spans="1:25" ht="15.75">
      <c r="A8" s="283"/>
      <c r="B8" s="284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5"/>
      <c r="O8" s="285"/>
      <c r="P8" s="186"/>
      <c r="Q8" s="187"/>
      <c r="R8" s="188"/>
      <c r="T8" s="216">
        <f t="shared" si="0"/>
      </c>
      <c r="U8" s="20">
        <f t="shared" si="1"/>
        <v>0</v>
      </c>
      <c r="V8" s="111"/>
      <c r="W8" s="111"/>
      <c r="X8" s="111"/>
      <c r="Y8" s="111"/>
    </row>
    <row r="9" spans="1:25" ht="15.75">
      <c r="A9" s="186"/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5"/>
      <c r="O9" s="285"/>
      <c r="P9" s="186"/>
      <c r="Q9" s="187"/>
      <c r="R9" s="187"/>
      <c r="T9" s="216">
        <f t="shared" si="0"/>
      </c>
      <c r="U9" s="20">
        <f t="shared" si="1"/>
        <v>0</v>
      </c>
      <c r="V9" s="111"/>
      <c r="W9" s="111"/>
      <c r="X9" s="111"/>
      <c r="Y9" s="111"/>
    </row>
    <row r="10" spans="1:25" ht="15.75">
      <c r="A10" s="186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5"/>
      <c r="O10" s="285"/>
      <c r="P10" s="186"/>
      <c r="Q10" s="187"/>
      <c r="R10" s="187"/>
      <c r="T10" s="216">
        <f t="shared" si="0"/>
      </c>
      <c r="U10" s="20">
        <f t="shared" si="1"/>
        <v>0</v>
      </c>
      <c r="V10" s="111"/>
      <c r="W10" s="111"/>
      <c r="X10" s="111"/>
      <c r="Y10" s="111"/>
    </row>
    <row r="11" spans="1:25" ht="15.75">
      <c r="A11" s="186"/>
      <c r="B11" s="284"/>
      <c r="C11" s="284"/>
      <c r="D11" s="284"/>
      <c r="E11" s="284"/>
      <c r="F11" s="286"/>
      <c r="G11" s="284"/>
      <c r="H11" s="284"/>
      <c r="I11" s="284"/>
      <c r="J11" s="284"/>
      <c r="K11" s="284"/>
      <c r="L11" s="284"/>
      <c r="M11" s="284"/>
      <c r="N11" s="285"/>
      <c r="O11" s="285"/>
      <c r="P11" s="186"/>
      <c r="Q11" s="187"/>
      <c r="R11" s="187"/>
      <c r="T11" s="216">
        <f t="shared" si="0"/>
      </c>
      <c r="U11" s="20">
        <f t="shared" si="1"/>
        <v>0</v>
      </c>
      <c r="V11" s="111"/>
      <c r="W11" s="111"/>
      <c r="X11" s="111"/>
      <c r="Y11" s="111"/>
    </row>
    <row r="12" spans="1:25" ht="15.75" customHeight="1">
      <c r="A12" s="186"/>
      <c r="B12" s="284"/>
      <c r="C12" s="284"/>
      <c r="D12" s="284"/>
      <c r="E12" s="284"/>
      <c r="F12" s="286"/>
      <c r="G12" s="284"/>
      <c r="H12" s="284"/>
      <c r="I12" s="284"/>
      <c r="J12" s="284"/>
      <c r="K12" s="284"/>
      <c r="L12" s="284"/>
      <c r="M12" s="284"/>
      <c r="N12" s="285"/>
      <c r="O12" s="285"/>
      <c r="P12" s="186"/>
      <c r="Q12" s="187"/>
      <c r="R12" s="187"/>
      <c r="T12" s="216">
        <f t="shared" si="0"/>
      </c>
      <c r="U12" s="20">
        <f t="shared" si="1"/>
        <v>0</v>
      </c>
      <c r="V12" s="111"/>
      <c r="W12" s="111"/>
      <c r="X12" s="111"/>
      <c r="Y12" s="111"/>
    </row>
    <row r="13" spans="1:25" ht="15.75" customHeight="1">
      <c r="A13" s="186"/>
      <c r="B13" s="284"/>
      <c r="C13" s="284"/>
      <c r="D13" s="284"/>
      <c r="E13" s="284"/>
      <c r="F13" s="286"/>
      <c r="G13" s="284"/>
      <c r="H13" s="284"/>
      <c r="I13" s="284"/>
      <c r="J13" s="284"/>
      <c r="K13" s="284"/>
      <c r="L13" s="284"/>
      <c r="M13" s="284"/>
      <c r="N13" s="285"/>
      <c r="O13" s="285"/>
      <c r="P13" s="186"/>
      <c r="Q13" s="187"/>
      <c r="R13" s="187"/>
      <c r="T13" s="216">
        <f t="shared" si="0"/>
      </c>
      <c r="U13" s="20">
        <f t="shared" si="1"/>
        <v>0</v>
      </c>
      <c r="V13" s="111"/>
      <c r="W13" s="111"/>
      <c r="X13" s="111"/>
      <c r="Y13" s="111"/>
    </row>
    <row r="14" spans="1:25" ht="15.75" customHeight="1">
      <c r="A14" s="186"/>
      <c r="B14" s="284"/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5"/>
      <c r="O14" s="285"/>
      <c r="P14" s="186"/>
      <c r="Q14" s="187"/>
      <c r="R14" s="187"/>
      <c r="T14" s="216">
        <f aca="true" t="shared" si="2" ref="T14:T33">IF(M14&lt;&gt;"",(IF(OR(M14=M13,M14=M15,M14=M16),"Azonos pont !","")),"")</f>
      </c>
      <c r="U14" s="20">
        <f t="shared" si="1"/>
        <v>0</v>
      </c>
      <c r="V14" s="111"/>
      <c r="W14" s="111"/>
      <c r="X14" s="111"/>
      <c r="Y14" s="111"/>
    </row>
    <row r="15" spans="1:25" ht="15.75" customHeight="1">
      <c r="A15" s="186"/>
      <c r="B15" s="284"/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5"/>
      <c r="O15" s="285"/>
      <c r="P15" s="186"/>
      <c r="Q15" s="187"/>
      <c r="R15" s="187"/>
      <c r="T15" s="216">
        <f t="shared" si="2"/>
      </c>
      <c r="U15" s="20">
        <f t="shared" si="1"/>
        <v>0</v>
      </c>
      <c r="V15" s="111"/>
      <c r="W15" s="111"/>
      <c r="X15" s="111"/>
      <c r="Y15" s="111"/>
    </row>
    <row r="16" spans="1:25" ht="15.75" customHeight="1">
      <c r="A16" s="186"/>
      <c r="B16" s="284"/>
      <c r="C16" s="186"/>
      <c r="D16" s="284"/>
      <c r="E16" s="186"/>
      <c r="F16" s="284"/>
      <c r="G16" s="186"/>
      <c r="H16" s="284"/>
      <c r="I16" s="186"/>
      <c r="J16" s="284"/>
      <c r="K16" s="186"/>
      <c r="L16" s="284"/>
      <c r="M16" s="284"/>
      <c r="N16" s="285"/>
      <c r="O16" s="285"/>
      <c r="P16" s="186"/>
      <c r="Q16" s="187"/>
      <c r="R16" s="187"/>
      <c r="T16" s="216">
        <f t="shared" si="2"/>
      </c>
      <c r="U16" s="20">
        <f aca="true" t="shared" si="3" ref="U16:U33">SUM(B16,D16,F16,H16,J16)</f>
        <v>0</v>
      </c>
      <c r="V16" s="111"/>
      <c r="W16" s="111"/>
      <c r="X16" s="111"/>
      <c r="Y16" s="111"/>
    </row>
    <row r="17" spans="1:25" ht="15.75" customHeight="1">
      <c r="A17" s="186"/>
      <c r="B17" s="284"/>
      <c r="C17" s="186"/>
      <c r="D17" s="284"/>
      <c r="E17" s="186"/>
      <c r="F17" s="286"/>
      <c r="G17" s="186"/>
      <c r="H17" s="284"/>
      <c r="I17" s="186"/>
      <c r="J17" s="284"/>
      <c r="K17" s="186"/>
      <c r="L17" s="284"/>
      <c r="M17" s="284"/>
      <c r="N17" s="285"/>
      <c r="O17" s="285"/>
      <c r="P17" s="186"/>
      <c r="Q17" s="187"/>
      <c r="R17" s="187"/>
      <c r="T17" s="216">
        <f t="shared" si="2"/>
      </c>
      <c r="U17" s="20">
        <f t="shared" si="3"/>
        <v>0</v>
      </c>
      <c r="V17" s="111"/>
      <c r="W17" s="111"/>
      <c r="X17" s="111"/>
      <c r="Y17" s="111"/>
    </row>
    <row r="18" spans="1:25" ht="15.75" customHeight="1">
      <c r="A18" s="186"/>
      <c r="B18" s="284"/>
      <c r="C18" s="186"/>
      <c r="D18" s="284"/>
      <c r="E18" s="186"/>
      <c r="F18" s="284"/>
      <c r="G18" s="186"/>
      <c r="H18" s="284"/>
      <c r="I18" s="186"/>
      <c r="J18" s="284"/>
      <c r="K18" s="186"/>
      <c r="L18" s="284"/>
      <c r="M18" s="284"/>
      <c r="N18" s="285"/>
      <c r="O18" s="285"/>
      <c r="P18" s="186"/>
      <c r="Q18" s="187"/>
      <c r="R18" s="187"/>
      <c r="T18" s="216">
        <f t="shared" si="2"/>
      </c>
      <c r="U18" s="20">
        <f t="shared" si="3"/>
        <v>0</v>
      </c>
      <c r="V18" s="111"/>
      <c r="W18" s="111"/>
      <c r="X18" s="111"/>
      <c r="Y18" s="111"/>
    </row>
    <row r="19" spans="1:25" ht="15.75" customHeight="1">
      <c r="A19" s="285"/>
      <c r="B19" s="285"/>
      <c r="C19" s="187"/>
      <c r="D19" s="285"/>
      <c r="E19" s="187"/>
      <c r="F19" s="285"/>
      <c r="G19" s="187"/>
      <c r="H19" s="285"/>
      <c r="I19" s="187"/>
      <c r="J19" s="285"/>
      <c r="K19" s="187"/>
      <c r="L19" s="284"/>
      <c r="M19" s="284"/>
      <c r="N19" s="285"/>
      <c r="O19" s="285"/>
      <c r="P19" s="285"/>
      <c r="Q19" s="287"/>
      <c r="R19" s="288"/>
      <c r="T19" s="216">
        <f t="shared" si="2"/>
      </c>
      <c r="U19" s="20">
        <f t="shared" si="3"/>
        <v>0</v>
      </c>
      <c r="V19" s="111"/>
      <c r="W19" s="111"/>
      <c r="X19" s="111"/>
      <c r="Y19" s="111"/>
    </row>
    <row r="20" spans="1:25" ht="15.75" customHeight="1">
      <c r="A20" s="285"/>
      <c r="B20" s="285"/>
      <c r="C20" s="187"/>
      <c r="D20" s="285"/>
      <c r="E20" s="187"/>
      <c r="F20" s="285"/>
      <c r="G20" s="187"/>
      <c r="H20" s="285"/>
      <c r="I20" s="187"/>
      <c r="J20" s="285"/>
      <c r="K20" s="187"/>
      <c r="L20" s="284"/>
      <c r="M20" s="284"/>
      <c r="N20" s="285"/>
      <c r="O20" s="285"/>
      <c r="P20" s="285"/>
      <c r="Q20" s="287"/>
      <c r="R20" s="288"/>
      <c r="T20" s="216">
        <f t="shared" si="2"/>
      </c>
      <c r="U20" s="20">
        <f t="shared" si="3"/>
        <v>0</v>
      </c>
      <c r="V20" s="111"/>
      <c r="W20" s="111"/>
      <c r="X20" s="111"/>
      <c r="Y20" s="111"/>
    </row>
    <row r="21" spans="1:25" ht="15.75" customHeight="1">
      <c r="A21" s="285"/>
      <c r="B21" s="285"/>
      <c r="C21" s="187"/>
      <c r="D21" s="285"/>
      <c r="E21" s="187"/>
      <c r="F21" s="285"/>
      <c r="G21" s="187"/>
      <c r="H21" s="285"/>
      <c r="I21" s="187"/>
      <c r="J21" s="285"/>
      <c r="K21" s="187"/>
      <c r="L21" s="284"/>
      <c r="M21" s="284"/>
      <c r="N21" s="285"/>
      <c r="O21" s="285"/>
      <c r="P21" s="285"/>
      <c r="Q21" s="287"/>
      <c r="R21" s="288"/>
      <c r="T21" s="216">
        <f t="shared" si="2"/>
      </c>
      <c r="U21" s="20">
        <f t="shared" si="3"/>
        <v>0</v>
      </c>
      <c r="V21" s="111"/>
      <c r="W21" s="111"/>
      <c r="X21" s="111"/>
      <c r="Y21" s="111"/>
    </row>
    <row r="22" spans="1:25" ht="15.75" customHeight="1">
      <c r="A22" s="285"/>
      <c r="B22" s="285"/>
      <c r="C22" s="187"/>
      <c r="D22" s="285"/>
      <c r="E22" s="187"/>
      <c r="F22" s="285"/>
      <c r="G22" s="187"/>
      <c r="H22" s="285"/>
      <c r="I22" s="187"/>
      <c r="J22" s="285"/>
      <c r="K22" s="187"/>
      <c r="L22" s="284"/>
      <c r="M22" s="284"/>
      <c r="N22" s="285"/>
      <c r="O22" s="285"/>
      <c r="P22" s="285"/>
      <c r="Q22" s="287"/>
      <c r="R22" s="288"/>
      <c r="T22" s="216">
        <f t="shared" si="2"/>
      </c>
      <c r="U22" s="20">
        <f t="shared" si="3"/>
        <v>0</v>
      </c>
      <c r="V22" s="111"/>
      <c r="W22" s="111"/>
      <c r="X22" s="111"/>
      <c r="Y22" s="111"/>
    </row>
    <row r="23" spans="1:25" ht="15.75" customHeight="1">
      <c r="A23" s="285"/>
      <c r="B23" s="285"/>
      <c r="C23" s="187"/>
      <c r="D23" s="285"/>
      <c r="E23" s="187"/>
      <c r="F23" s="285"/>
      <c r="G23" s="187"/>
      <c r="H23" s="285"/>
      <c r="I23" s="187"/>
      <c r="J23" s="285"/>
      <c r="K23" s="187"/>
      <c r="L23" s="284"/>
      <c r="M23" s="284"/>
      <c r="N23" s="285"/>
      <c r="O23" s="285"/>
      <c r="P23" s="285"/>
      <c r="Q23" s="287"/>
      <c r="R23" s="288"/>
      <c r="T23" s="216">
        <f t="shared" si="2"/>
      </c>
      <c r="U23" s="20">
        <f t="shared" si="3"/>
        <v>0</v>
      </c>
      <c r="V23" s="111"/>
      <c r="W23" s="111"/>
      <c r="X23" s="111"/>
      <c r="Y23" s="111"/>
    </row>
    <row r="24" spans="1:25" ht="15.75" customHeight="1">
      <c r="A24" s="285"/>
      <c r="B24" s="285"/>
      <c r="C24" s="187"/>
      <c r="D24" s="285"/>
      <c r="E24" s="187"/>
      <c r="F24" s="285"/>
      <c r="G24" s="187"/>
      <c r="H24" s="285"/>
      <c r="I24" s="187"/>
      <c r="J24" s="285"/>
      <c r="K24" s="187"/>
      <c r="L24" s="284"/>
      <c r="M24" s="284"/>
      <c r="N24" s="285"/>
      <c r="O24" s="285"/>
      <c r="P24" s="285"/>
      <c r="Q24" s="287"/>
      <c r="R24" s="288"/>
      <c r="T24" s="216">
        <f t="shared" si="2"/>
      </c>
      <c r="U24" s="20">
        <f t="shared" si="3"/>
        <v>0</v>
      </c>
      <c r="V24" s="111"/>
      <c r="W24" s="111"/>
      <c r="X24" s="111"/>
      <c r="Y24" s="111"/>
    </row>
    <row r="25" spans="1:25" ht="15.75" customHeight="1">
      <c r="A25" s="285"/>
      <c r="B25" s="285"/>
      <c r="C25" s="187"/>
      <c r="D25" s="285"/>
      <c r="E25" s="187"/>
      <c r="F25" s="285"/>
      <c r="G25" s="187"/>
      <c r="H25" s="285"/>
      <c r="I25" s="187"/>
      <c r="J25" s="285"/>
      <c r="K25" s="187"/>
      <c r="L25" s="284"/>
      <c r="M25" s="284"/>
      <c r="N25" s="285"/>
      <c r="O25" s="285"/>
      <c r="P25" s="285"/>
      <c r="Q25" s="287"/>
      <c r="R25" s="288"/>
      <c r="T25" s="216">
        <f t="shared" si="2"/>
      </c>
      <c r="U25" s="20">
        <f t="shared" si="3"/>
        <v>0</v>
      </c>
      <c r="V25" s="111"/>
      <c r="W25" s="111"/>
      <c r="X25" s="111"/>
      <c r="Y25" s="111"/>
    </row>
    <row r="26" spans="1:25" ht="15.75" customHeight="1">
      <c r="A26" s="285"/>
      <c r="B26" s="285"/>
      <c r="C26" s="187"/>
      <c r="D26" s="285"/>
      <c r="E26" s="187"/>
      <c r="F26" s="285"/>
      <c r="G26" s="187"/>
      <c r="H26" s="285"/>
      <c r="I26" s="187"/>
      <c r="J26" s="285"/>
      <c r="K26" s="187"/>
      <c r="L26" s="284"/>
      <c r="M26" s="284"/>
      <c r="N26" s="285"/>
      <c r="O26" s="285"/>
      <c r="P26" s="285"/>
      <c r="Q26" s="287"/>
      <c r="R26" s="288"/>
      <c r="T26" s="216">
        <f t="shared" si="2"/>
      </c>
      <c r="U26" s="20">
        <f t="shared" si="3"/>
        <v>0</v>
      </c>
      <c r="V26" s="111"/>
      <c r="W26" s="111"/>
      <c r="X26" s="111"/>
      <c r="Y26" s="111"/>
    </row>
    <row r="27" spans="1:25" ht="15.75" customHeight="1">
      <c r="A27" s="285"/>
      <c r="B27" s="285"/>
      <c r="C27" s="187"/>
      <c r="D27" s="285"/>
      <c r="E27" s="187"/>
      <c r="F27" s="285"/>
      <c r="G27" s="187"/>
      <c r="H27" s="285"/>
      <c r="I27" s="187"/>
      <c r="J27" s="285"/>
      <c r="K27" s="187"/>
      <c r="L27" s="284"/>
      <c r="M27" s="284"/>
      <c r="N27" s="285"/>
      <c r="O27" s="285"/>
      <c r="P27" s="285"/>
      <c r="Q27" s="287"/>
      <c r="R27" s="288"/>
      <c r="T27" s="216">
        <f t="shared" si="2"/>
      </c>
      <c r="U27" s="20">
        <f t="shared" si="3"/>
        <v>0</v>
      </c>
      <c r="V27" s="111"/>
      <c r="W27" s="111"/>
      <c r="X27" s="111"/>
      <c r="Y27" s="111"/>
    </row>
    <row r="28" spans="1:25" ht="15.75" customHeight="1">
      <c r="A28" s="285"/>
      <c r="B28" s="285"/>
      <c r="C28" s="187"/>
      <c r="D28" s="285"/>
      <c r="E28" s="187"/>
      <c r="F28" s="285"/>
      <c r="G28" s="187"/>
      <c r="H28" s="285"/>
      <c r="I28" s="187"/>
      <c r="J28" s="285"/>
      <c r="K28" s="187"/>
      <c r="L28" s="284"/>
      <c r="M28" s="284"/>
      <c r="N28" s="285"/>
      <c r="O28" s="285"/>
      <c r="P28" s="285"/>
      <c r="Q28" s="287"/>
      <c r="R28" s="288"/>
      <c r="T28" s="216">
        <f t="shared" si="2"/>
      </c>
      <c r="U28" s="20">
        <f t="shared" si="3"/>
        <v>0</v>
      </c>
      <c r="V28" s="111"/>
      <c r="W28" s="111"/>
      <c r="X28" s="111"/>
      <c r="Y28" s="111"/>
    </row>
    <row r="29" spans="1:25" ht="15.75" customHeight="1">
      <c r="A29" s="32"/>
      <c r="B29" s="32"/>
      <c r="C29" s="5"/>
      <c r="D29" s="32"/>
      <c r="E29" s="5"/>
      <c r="F29" s="32"/>
      <c r="G29" s="5"/>
      <c r="H29" s="32"/>
      <c r="I29" s="5"/>
      <c r="J29" s="32"/>
      <c r="K29" s="5"/>
      <c r="L29" s="27"/>
      <c r="M29" s="27"/>
      <c r="N29" s="32"/>
      <c r="O29" s="32"/>
      <c r="P29" s="32"/>
      <c r="Q29" s="34"/>
      <c r="R29" s="35"/>
      <c r="T29" s="216">
        <f t="shared" si="2"/>
      </c>
      <c r="U29" s="20">
        <f t="shared" si="3"/>
        <v>0</v>
      </c>
      <c r="V29" s="111"/>
      <c r="W29" s="111"/>
      <c r="X29" s="111"/>
      <c r="Y29" s="111"/>
    </row>
    <row r="30" spans="1:25" ht="15.75" customHeight="1">
      <c r="A30" s="32"/>
      <c r="B30" s="32"/>
      <c r="C30" s="5"/>
      <c r="D30" s="32"/>
      <c r="E30" s="5"/>
      <c r="F30" s="32"/>
      <c r="G30" s="5"/>
      <c r="H30" s="32"/>
      <c r="I30" s="5"/>
      <c r="J30" s="32"/>
      <c r="K30" s="5"/>
      <c r="L30" s="27"/>
      <c r="M30" s="27"/>
      <c r="N30" s="32"/>
      <c r="O30" s="32"/>
      <c r="P30" s="32"/>
      <c r="Q30" s="34"/>
      <c r="R30" s="35"/>
      <c r="T30" s="216">
        <f t="shared" si="2"/>
      </c>
      <c r="U30" s="20">
        <f t="shared" si="3"/>
        <v>0</v>
      </c>
      <c r="V30" s="111"/>
      <c r="W30" s="111"/>
      <c r="X30" s="111"/>
      <c r="Y30" s="111"/>
    </row>
    <row r="31" spans="1:25" ht="15.75" customHeight="1">
      <c r="A31" s="32"/>
      <c r="B31" s="32"/>
      <c r="C31" s="5"/>
      <c r="D31" s="32"/>
      <c r="E31" s="5"/>
      <c r="F31" s="32"/>
      <c r="G31" s="5"/>
      <c r="H31" s="32"/>
      <c r="I31" s="5"/>
      <c r="J31" s="32"/>
      <c r="K31" s="5"/>
      <c r="L31" s="27"/>
      <c r="M31" s="27"/>
      <c r="N31" s="32"/>
      <c r="O31" s="32"/>
      <c r="P31" s="32"/>
      <c r="Q31" s="34"/>
      <c r="R31" s="35"/>
      <c r="T31" s="216">
        <f t="shared" si="2"/>
      </c>
      <c r="U31" s="20">
        <f t="shared" si="3"/>
        <v>0</v>
      </c>
      <c r="V31" s="111"/>
      <c r="W31" s="111"/>
      <c r="X31" s="111"/>
      <c r="Y31" s="111"/>
    </row>
    <row r="32" spans="1:25" ht="15.75" customHeight="1">
      <c r="A32" s="32"/>
      <c r="B32" s="32"/>
      <c r="C32" s="5"/>
      <c r="D32" s="32"/>
      <c r="E32" s="5"/>
      <c r="F32" s="32"/>
      <c r="G32" s="5"/>
      <c r="H32" s="32"/>
      <c r="I32" s="5"/>
      <c r="J32" s="32"/>
      <c r="K32" s="5"/>
      <c r="L32" s="27"/>
      <c r="M32" s="27"/>
      <c r="N32" s="32"/>
      <c r="O32" s="32"/>
      <c r="P32" s="32"/>
      <c r="Q32" s="34"/>
      <c r="R32" s="35"/>
      <c r="T32" s="216">
        <f t="shared" si="2"/>
      </c>
      <c r="U32" s="20">
        <f t="shared" si="3"/>
        <v>0</v>
      </c>
      <c r="V32" s="111"/>
      <c r="W32" s="111"/>
      <c r="X32" s="111"/>
      <c r="Y32" s="111"/>
    </row>
    <row r="33" spans="1:25" ht="15.75" customHeight="1">
      <c r="A33" s="32"/>
      <c r="B33" s="32"/>
      <c r="C33" s="5"/>
      <c r="D33" s="32"/>
      <c r="E33" s="5"/>
      <c r="F33" s="32"/>
      <c r="G33" s="5"/>
      <c r="H33" s="32"/>
      <c r="I33" s="5"/>
      <c r="J33" s="32"/>
      <c r="K33" s="5"/>
      <c r="L33" s="27"/>
      <c r="M33" s="27"/>
      <c r="N33" s="32"/>
      <c r="O33" s="32"/>
      <c r="P33" s="32"/>
      <c r="Q33" s="34"/>
      <c r="R33" s="35"/>
      <c r="T33" s="216">
        <f t="shared" si="2"/>
      </c>
      <c r="U33" s="20">
        <f t="shared" si="3"/>
        <v>0</v>
      </c>
      <c r="V33" s="111"/>
      <c r="W33" s="111"/>
      <c r="X33" s="111"/>
      <c r="Y33" s="111"/>
    </row>
    <row r="34" spans="1:25" ht="15.75" customHeight="1">
      <c r="A34" s="32"/>
      <c r="B34" s="32"/>
      <c r="C34" s="5"/>
      <c r="D34" s="32"/>
      <c r="E34" s="5"/>
      <c r="F34" s="32"/>
      <c r="G34" s="5"/>
      <c r="H34" s="32"/>
      <c r="I34" s="5"/>
      <c r="J34" s="32"/>
      <c r="K34" s="5"/>
      <c r="L34" s="27"/>
      <c r="M34" s="27"/>
      <c r="N34" s="32"/>
      <c r="O34" s="32"/>
      <c r="P34" s="32"/>
      <c r="Q34" s="34"/>
      <c r="R34" s="35"/>
      <c r="S34" s="111"/>
      <c r="T34" s="111"/>
      <c r="U34" s="111"/>
      <c r="V34" s="111"/>
      <c r="W34" s="111"/>
      <c r="X34" s="111"/>
      <c r="Y34" s="111"/>
    </row>
    <row r="35" spans="1:25" ht="15.75" customHeight="1">
      <c r="A35" s="32"/>
      <c r="B35" s="32"/>
      <c r="C35" s="5"/>
      <c r="D35" s="32"/>
      <c r="E35" s="5"/>
      <c r="F35" s="32"/>
      <c r="G35" s="5"/>
      <c r="H35" s="32"/>
      <c r="I35" s="5"/>
      <c r="J35" s="32"/>
      <c r="K35" s="5"/>
      <c r="L35" s="27"/>
      <c r="M35" s="27"/>
      <c r="N35" s="32"/>
      <c r="O35" s="32"/>
      <c r="P35" s="32"/>
      <c r="Q35" s="34"/>
      <c r="R35" s="35"/>
      <c r="S35" s="111"/>
      <c r="T35" s="111"/>
      <c r="U35" s="111"/>
      <c r="V35" s="111"/>
      <c r="W35" s="111"/>
      <c r="X35" s="111"/>
      <c r="Y35" s="111"/>
    </row>
    <row r="36" spans="1:25" ht="15.75" customHeight="1">
      <c r="A36" s="32"/>
      <c r="B36" s="32"/>
      <c r="C36" s="5"/>
      <c r="D36" s="32"/>
      <c r="E36" s="5"/>
      <c r="F36" s="32"/>
      <c r="G36" s="5"/>
      <c r="H36" s="32"/>
      <c r="I36" s="5"/>
      <c r="J36" s="32"/>
      <c r="K36" s="5"/>
      <c r="L36" s="27"/>
      <c r="M36" s="27"/>
      <c r="N36" s="32"/>
      <c r="O36" s="32"/>
      <c r="P36" s="32"/>
      <c r="Q36" s="34"/>
      <c r="R36" s="35"/>
      <c r="S36" s="111"/>
      <c r="T36" s="111"/>
      <c r="U36" s="111"/>
      <c r="V36" s="111"/>
      <c r="W36" s="111"/>
      <c r="X36" s="111"/>
      <c r="Y36" s="111"/>
    </row>
    <row r="37" spans="1:25" ht="15.75" customHeight="1">
      <c r="A37" s="32"/>
      <c r="B37" s="32"/>
      <c r="C37" s="5"/>
      <c r="D37" s="32"/>
      <c r="E37" s="5"/>
      <c r="F37" s="32"/>
      <c r="G37" s="5"/>
      <c r="H37" s="32"/>
      <c r="I37" s="5"/>
      <c r="J37" s="32"/>
      <c r="K37" s="5"/>
      <c r="L37" s="27"/>
      <c r="M37" s="27"/>
      <c r="N37" s="32"/>
      <c r="O37" s="32"/>
      <c r="P37" s="32"/>
      <c r="Q37" s="34"/>
      <c r="R37" s="35"/>
      <c r="S37" s="111"/>
      <c r="T37" s="111"/>
      <c r="U37" s="111"/>
      <c r="V37" s="111"/>
      <c r="W37" s="111"/>
      <c r="X37" s="111"/>
      <c r="Y37" s="111"/>
    </row>
    <row r="38" spans="1:25" ht="15.75" customHeight="1">
      <c r="A38" s="32"/>
      <c r="B38" s="32"/>
      <c r="C38" s="5"/>
      <c r="D38" s="32"/>
      <c r="E38" s="5"/>
      <c r="F38" s="32"/>
      <c r="G38" s="5"/>
      <c r="H38" s="32"/>
      <c r="I38" s="5"/>
      <c r="J38" s="32"/>
      <c r="K38" s="5"/>
      <c r="L38" s="27"/>
      <c r="M38" s="27"/>
      <c r="N38" s="32"/>
      <c r="O38" s="32"/>
      <c r="P38" s="32"/>
      <c r="Q38" s="34"/>
      <c r="R38" s="35"/>
      <c r="S38" s="111"/>
      <c r="T38" s="111"/>
      <c r="U38" s="111"/>
      <c r="V38" s="111"/>
      <c r="W38" s="111"/>
      <c r="X38" s="111"/>
      <c r="Y38" s="111"/>
    </row>
    <row r="39" ht="15.75" customHeight="1"/>
    <row r="40" ht="15.75" customHeight="1"/>
  </sheetData>
  <sheetProtection/>
  <printOptions gridLines="1"/>
  <pageMargins left="0.75" right="0.75" top="1" bottom="1" header="0.5" footer="0.5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Q44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4.00390625" style="3" customWidth="1"/>
    <col min="2" max="2" width="0.2890625" style="1" customWidth="1"/>
    <col min="3" max="3" width="0.13671875" style="1" customWidth="1"/>
    <col min="4" max="4" width="10.57421875" style="14" customWidth="1"/>
    <col min="5" max="5" width="38.8515625" style="3" customWidth="1"/>
    <col min="6" max="6" width="27.00390625" style="3" customWidth="1"/>
    <col min="7" max="7" width="4.57421875" style="3" customWidth="1"/>
    <col min="8" max="16384" width="9.140625" style="3" customWidth="1"/>
  </cols>
  <sheetData>
    <row r="1" spans="1:17" ht="18" customHeight="1" thickBot="1">
      <c r="A1" s="9" t="s">
        <v>3</v>
      </c>
      <c r="B1" s="15"/>
      <c r="C1" s="15"/>
      <c r="D1" s="10"/>
      <c r="E1" s="21" t="s">
        <v>7</v>
      </c>
      <c r="F1" s="4" t="s">
        <v>4</v>
      </c>
      <c r="G1" s="206"/>
      <c r="H1" s="242" t="s">
        <v>88</v>
      </c>
      <c r="I1" s="206"/>
      <c r="J1" s="206"/>
      <c r="K1" s="206"/>
      <c r="L1" s="206"/>
      <c r="M1" s="206"/>
      <c r="N1" s="206"/>
      <c r="O1" s="206"/>
      <c r="P1" s="206"/>
      <c r="Q1" s="206"/>
    </row>
    <row r="2" spans="1:17" ht="21" customHeight="1" thickBot="1">
      <c r="A2" s="191" t="s">
        <v>27</v>
      </c>
      <c r="B2" s="16"/>
      <c r="C2" s="16"/>
      <c r="D2" s="11"/>
      <c r="E2" s="7"/>
      <c r="F2" s="8">
        <f>COUNT(D4:D33)</f>
        <v>0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</row>
    <row r="3" spans="1:17" ht="16.5" thickBot="1">
      <c r="A3" s="5"/>
      <c r="D3" s="17" t="s">
        <v>0</v>
      </c>
      <c r="E3" s="18" t="s">
        <v>1</v>
      </c>
      <c r="F3" s="19" t="s">
        <v>2</v>
      </c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</row>
    <row r="4" spans="1:17" ht="15.75">
      <c r="A4" s="187">
        <f>IF(D4&lt;&gt;"",1,"")</f>
      </c>
      <c r="B4" s="237" t="str">
        <f ca="1">IF(E4="…"," ",IF(E4=""," ",RAND()))</f>
        <v> </v>
      </c>
      <c r="C4" s="237">
        <f>IF(ISNUMBER(D4)=TRUE,IF(COUNTIF(D4:D33,D4)=1,"","HIBA"),"")</f>
      </c>
      <c r="D4" s="171"/>
      <c r="E4" s="185"/>
      <c r="F4" s="185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</row>
    <row r="5" spans="1:17" ht="15.75">
      <c r="A5" s="187">
        <f>IF(D5&lt;&gt;"",2,"")</f>
      </c>
      <c r="B5" s="237" t="str">
        <f aca="true" ca="1" t="shared" si="0" ref="B5:B33">IF(E5="…"," ",IF(E5=""," ",RAND()))</f>
        <v> </v>
      </c>
      <c r="C5" s="237">
        <f>IF(ISNUMBER(D5)=TRUE,IF(COUNTIF(D4:D33,D5)=1,"","HIBA"),"")</f>
      </c>
      <c r="D5" s="186"/>
      <c r="E5" s="187"/>
      <c r="F5" s="187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</row>
    <row r="6" spans="1:17" ht="15.75">
      <c r="A6" s="187">
        <f>IF(D6&lt;&gt;"",3,"")</f>
      </c>
      <c r="B6" s="237" t="str">
        <f ca="1" t="shared" si="0"/>
        <v> </v>
      </c>
      <c r="C6" s="237">
        <f>IF(ISNUMBER(D6)=TRUE,IF(COUNTIF(D4:D33,D6)=1,"","HIBA"),"")</f>
      </c>
      <c r="D6" s="186"/>
      <c r="E6" s="187"/>
      <c r="F6" s="187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7" spans="1:17" ht="15.75">
      <c r="A7" s="187">
        <f>IF(D7&lt;&gt;"",4,"")</f>
      </c>
      <c r="B7" s="237" t="str">
        <f ca="1" t="shared" si="0"/>
        <v> </v>
      </c>
      <c r="C7" s="237">
        <f>IF(ISNUMBER(D7)=TRUE,IF(COUNTIF(D4:D33,D7)=1,"","HIBA"),"")</f>
      </c>
      <c r="D7" s="186"/>
      <c r="E7" s="187"/>
      <c r="F7" s="187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</row>
    <row r="8" spans="1:17" ht="15.75">
      <c r="A8" s="187">
        <f>IF(D8&lt;&gt;"",5,"")</f>
      </c>
      <c r="B8" s="237" t="str">
        <f ca="1" t="shared" si="0"/>
        <v> </v>
      </c>
      <c r="C8" s="237">
        <f>IF(ISNUMBER(D8)=TRUE,IF(COUNTIF(D4:D33,D8)=1,"","HIBA"),"")</f>
      </c>
      <c r="D8" s="186"/>
      <c r="E8" s="187"/>
      <c r="F8" s="187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</row>
    <row r="9" spans="1:17" ht="15.75">
      <c r="A9" s="187">
        <f>IF(D9&lt;&gt;"",6,"")</f>
      </c>
      <c r="B9" s="237" t="str">
        <f ca="1" t="shared" si="0"/>
        <v> </v>
      </c>
      <c r="C9" s="237">
        <f>IF(ISNUMBER(D9)=TRUE,IF(COUNTIF(D4:D33,D9)=1,"","HIBA"),"")</f>
      </c>
      <c r="D9" s="186"/>
      <c r="E9" s="187"/>
      <c r="F9" s="187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</row>
    <row r="10" spans="1:17" ht="15.75">
      <c r="A10" s="187">
        <f>IF(D10&lt;&gt;"",7,"")</f>
      </c>
      <c r="B10" s="237" t="str">
        <f ca="1" t="shared" si="0"/>
        <v> </v>
      </c>
      <c r="C10" s="237">
        <f>IF(ISNUMBER(D10)=TRUE,IF(COUNTIF(D4:D33,D10)=1,"","HIBA"),"")</f>
      </c>
      <c r="D10" s="186"/>
      <c r="E10" s="187"/>
      <c r="F10" s="187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</row>
    <row r="11" spans="1:17" ht="15.75">
      <c r="A11" s="187">
        <f>IF(D11&lt;&gt;"",8,"")</f>
      </c>
      <c r="B11" s="237" t="str">
        <f ca="1" t="shared" si="0"/>
        <v> </v>
      </c>
      <c r="C11" s="237">
        <f>IF(ISNUMBER(D11)=TRUE,IF(COUNTIF(D4:D33,D11)=1,"","HIBA"),"")</f>
      </c>
      <c r="D11" s="186"/>
      <c r="E11" s="187"/>
      <c r="F11" s="187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</row>
    <row r="12" spans="1:17" ht="15.75">
      <c r="A12" s="187">
        <f>IF(D12&lt;&gt;"",9,"")</f>
      </c>
      <c r="B12" s="237" t="str">
        <f ca="1" t="shared" si="0"/>
        <v> </v>
      </c>
      <c r="C12" s="237">
        <f>IF(ISNUMBER(D12)=TRUE,IF(COUNTIF(D4:D33,D12)=1,"","HIBA"),"")</f>
      </c>
      <c r="D12" s="186"/>
      <c r="E12" s="187"/>
      <c r="F12" s="187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</row>
    <row r="13" spans="1:17" ht="15.75">
      <c r="A13" s="187">
        <f>IF(D13&lt;&gt;"",10,"")</f>
      </c>
      <c r="B13" s="237" t="str">
        <f ca="1" t="shared" si="0"/>
        <v> </v>
      </c>
      <c r="C13" s="237">
        <f>IF(ISNUMBER(D13)=TRUE,IF(COUNTIF(D4:D33,D13)=1,"","HIBA"),"")</f>
      </c>
      <c r="D13" s="186"/>
      <c r="E13" s="187"/>
      <c r="F13" s="187"/>
      <c r="G13" s="206"/>
      <c r="H13" s="206"/>
      <c r="I13" s="206"/>
      <c r="J13" s="206"/>
      <c r="K13" s="206"/>
      <c r="L13" s="206"/>
      <c r="M13" s="206"/>
      <c r="N13" s="206"/>
      <c r="O13" s="206"/>
      <c r="P13" s="206"/>
      <c r="Q13" s="206"/>
    </row>
    <row r="14" spans="1:17" ht="15.75">
      <c r="A14" s="187">
        <f>IF(D14&lt;&gt;"",11,"")</f>
      </c>
      <c r="B14" s="237" t="str">
        <f ca="1" t="shared" si="0"/>
        <v> </v>
      </c>
      <c r="C14" s="237">
        <f>IF(ISNUMBER(D14)=TRUE,IF(COUNTIF(D4:D33,D14)=1,"","HIBA"),"")</f>
      </c>
      <c r="D14" s="186"/>
      <c r="E14" s="187"/>
      <c r="F14" s="187"/>
      <c r="G14" s="206"/>
      <c r="H14" s="206"/>
      <c r="I14" s="206"/>
      <c r="J14" s="206"/>
      <c r="K14" s="206"/>
      <c r="L14" s="206"/>
      <c r="M14" s="206"/>
      <c r="N14" s="206"/>
      <c r="O14" s="206"/>
      <c r="P14" s="206"/>
      <c r="Q14" s="206"/>
    </row>
    <row r="15" spans="1:17" ht="15.75">
      <c r="A15" s="187">
        <f>IF(D15&lt;&gt;"",12,"")</f>
      </c>
      <c r="B15" s="237" t="str">
        <f ca="1" t="shared" si="0"/>
        <v> </v>
      </c>
      <c r="C15" s="237">
        <f>IF(ISNUMBER(D15)=TRUE,IF(COUNTIF(D4:D33,D15)=1,"","HIBA"),"")</f>
      </c>
      <c r="D15" s="186"/>
      <c r="E15" s="187"/>
      <c r="F15" s="187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</row>
    <row r="16" spans="1:17" ht="15.75">
      <c r="A16" s="187">
        <f>IF(D16&lt;&gt;"",13,"")</f>
      </c>
      <c r="B16" s="237" t="str">
        <f ca="1" t="shared" si="0"/>
        <v> </v>
      </c>
      <c r="C16" s="237">
        <f>IF(ISNUMBER(D16)=TRUE,IF(COUNTIF(D4:D33,D16)=1,"","HIBA"),"")</f>
      </c>
      <c r="D16" s="186"/>
      <c r="E16" s="187"/>
      <c r="F16" s="187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</row>
    <row r="17" spans="1:17" ht="15.75">
      <c r="A17" s="187">
        <f>IF(D17&lt;&gt;"",14,"")</f>
      </c>
      <c r="B17" s="237" t="str">
        <f ca="1" t="shared" si="0"/>
        <v> </v>
      </c>
      <c r="C17" s="237">
        <f>IF(ISNUMBER(D17)=TRUE,IF(COUNTIF(D4:D33,D17)=1,"","HIBA"),"")</f>
      </c>
      <c r="D17" s="186"/>
      <c r="E17" s="187"/>
      <c r="F17" s="187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</row>
    <row r="18" spans="1:17" ht="15.75">
      <c r="A18" s="187">
        <f>IF(D18&lt;&gt;"",15,"")</f>
      </c>
      <c r="B18" s="237" t="str">
        <f ca="1" t="shared" si="0"/>
        <v> </v>
      </c>
      <c r="C18" s="237">
        <f>IF(ISNUMBER(D18)=TRUE,IF(COUNTIF(D4:D33,D18)=1,"","HIBA"),"")</f>
      </c>
      <c r="D18" s="186"/>
      <c r="E18" s="187"/>
      <c r="F18" s="187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</row>
    <row r="19" spans="1:17" ht="15.75">
      <c r="A19" s="187">
        <f>IF(D19&lt;&gt;"",16,"")</f>
      </c>
      <c r="B19" s="237" t="str">
        <f ca="1" t="shared" si="0"/>
        <v> </v>
      </c>
      <c r="C19" s="237">
        <f>IF(ISNUMBER(D19)=TRUE,IF(COUNTIF(D4:D33,D19)=1,"","HIBA"),"")</f>
      </c>
      <c r="D19" s="186"/>
      <c r="E19" s="187"/>
      <c r="F19" s="187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</row>
    <row r="20" spans="1:17" ht="15.75">
      <c r="A20" s="187">
        <f>IF(D20&lt;&gt;"","17","")</f>
      </c>
      <c r="B20" s="237" t="str">
        <f ca="1" t="shared" si="0"/>
        <v> </v>
      </c>
      <c r="C20" s="237">
        <f>IF(ISNUMBER(D20)=TRUE,IF(COUNTIF(D4:D33,D20)=1,"","HIBA"),"")</f>
      </c>
      <c r="D20" s="186"/>
      <c r="E20" s="187"/>
      <c r="F20" s="187"/>
      <c r="G20" s="206"/>
      <c r="H20" s="206"/>
      <c r="I20" s="206"/>
      <c r="J20" s="206"/>
      <c r="K20" s="206"/>
      <c r="L20" s="206"/>
      <c r="M20" s="206"/>
      <c r="N20" s="206"/>
      <c r="O20" s="206"/>
      <c r="P20" s="206"/>
      <c r="Q20" s="206"/>
    </row>
    <row r="21" spans="1:17" ht="15.75">
      <c r="A21" s="187">
        <f>IF(D21&lt;&gt;"",18,"")</f>
      </c>
      <c r="B21" s="237" t="str">
        <f ca="1" t="shared" si="0"/>
        <v> </v>
      </c>
      <c r="C21" s="237">
        <f>IF(ISNUMBER(D21)=TRUE,IF(COUNTIF(D4:D33,D21)=1,"","HIBA"),"")</f>
      </c>
      <c r="D21" s="186"/>
      <c r="E21" s="187"/>
      <c r="F21" s="187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</row>
    <row r="22" spans="1:17" ht="15.75">
      <c r="A22" s="187">
        <f>IF(D22&lt;&gt;"",19,"")</f>
      </c>
      <c r="B22" s="237" t="str">
        <f ca="1" t="shared" si="0"/>
        <v> </v>
      </c>
      <c r="C22" s="237">
        <f>IF(ISNUMBER(D22)=TRUE,IF(COUNTIF(D4:D33,D22)=1,"","HIBA"),"")</f>
      </c>
      <c r="D22" s="186"/>
      <c r="E22" s="187"/>
      <c r="F22" s="187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</row>
    <row r="23" spans="1:17" ht="15.75">
      <c r="A23" s="187">
        <f>IF(D23&lt;&gt;"",20,"")</f>
      </c>
      <c r="B23" s="237" t="str">
        <f ca="1" t="shared" si="0"/>
        <v> </v>
      </c>
      <c r="C23" s="237">
        <f>IF(ISNUMBER(D23)=TRUE,IF(COUNTIF(D4:D33,D23)=1,"","HIBA"),"")</f>
      </c>
      <c r="D23" s="186"/>
      <c r="E23" s="187"/>
      <c r="F23" s="187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</row>
    <row r="24" spans="1:17" ht="15.75">
      <c r="A24" s="187">
        <f>IF(D24&lt;&gt;"",21,"")</f>
      </c>
      <c r="B24" s="237" t="str">
        <f ca="1" t="shared" si="0"/>
        <v> </v>
      </c>
      <c r="C24" s="237">
        <f>IF(ISNUMBER(D24)=TRUE,IF(COUNTIF(D4:D33,D24)=1,"","HIBA"),"")</f>
      </c>
      <c r="D24" s="186"/>
      <c r="E24" s="187"/>
      <c r="F24" s="187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</row>
    <row r="25" spans="1:17" ht="15.75">
      <c r="A25" s="187">
        <f>IF(D25&lt;&gt;"",22,"")</f>
      </c>
      <c r="B25" s="237" t="str">
        <f ca="1" t="shared" si="0"/>
        <v> </v>
      </c>
      <c r="C25" s="237">
        <f>IF(ISNUMBER(D25)=TRUE,IF(COUNTIF(D4:D33,D25)=1,"","HIBA"),"")</f>
      </c>
      <c r="D25" s="186"/>
      <c r="E25" s="187"/>
      <c r="F25" s="187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</row>
    <row r="26" spans="1:17" ht="15.75">
      <c r="A26" s="187">
        <f>IF(D26&lt;&gt;"",23,"")</f>
      </c>
      <c r="B26" s="237" t="str">
        <f ca="1" t="shared" si="0"/>
        <v> </v>
      </c>
      <c r="C26" s="237">
        <f>IF(ISNUMBER(D26)=TRUE,IF(COUNTIF(D4:D33,D26)=1,"","HIBA"),"")</f>
      </c>
      <c r="D26" s="186"/>
      <c r="E26" s="187"/>
      <c r="F26" s="187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</row>
    <row r="27" spans="1:17" ht="15.75">
      <c r="A27" s="187">
        <f>IF(D27&lt;&gt;"",24,"")</f>
      </c>
      <c r="B27" s="237" t="str">
        <f ca="1" t="shared" si="0"/>
        <v> </v>
      </c>
      <c r="C27" s="237">
        <f>IF(ISNUMBER(D27)=TRUE,IF(COUNTIF(D4:D33,D27)=1,"","HIBA"),"")</f>
      </c>
      <c r="D27" s="186"/>
      <c r="E27" s="187"/>
      <c r="F27" s="187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</row>
    <row r="28" spans="1:17" ht="15.75">
      <c r="A28" s="187">
        <f>IF(D28&lt;&gt;"",25,"")</f>
      </c>
      <c r="B28" s="237" t="str">
        <f ca="1" t="shared" si="0"/>
        <v> </v>
      </c>
      <c r="C28" s="237">
        <f>IF(ISNUMBER(D28)=TRUE,IF(COUNTIF(D4:D33,D28)=1,"","HIBA"),"")</f>
      </c>
      <c r="D28" s="186"/>
      <c r="E28" s="187"/>
      <c r="F28" s="187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</row>
    <row r="29" spans="1:17" ht="15.75">
      <c r="A29" s="187">
        <f>IF(D29&lt;&gt;"",26,"")</f>
      </c>
      <c r="B29" s="237" t="str">
        <f ca="1" t="shared" si="0"/>
        <v> </v>
      </c>
      <c r="C29" s="237">
        <f>IF(ISNUMBER(D29)=TRUE,IF(COUNTIF(D4:D33,D29)=1,"","HIBA"),"")</f>
      </c>
      <c r="D29" s="186"/>
      <c r="E29" s="187"/>
      <c r="F29" s="187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</row>
    <row r="30" spans="1:17" ht="15.75">
      <c r="A30" s="187">
        <f>IF(D30&lt;&gt;"",27,"")</f>
      </c>
      <c r="B30" s="237" t="str">
        <f ca="1" t="shared" si="0"/>
        <v> </v>
      </c>
      <c r="C30" s="237">
        <f>IF(ISNUMBER(D30)=TRUE,IF(COUNTIF(D4:D33,D30)=1,"","HIBA"),"")</f>
      </c>
      <c r="D30" s="186"/>
      <c r="E30" s="187"/>
      <c r="F30" s="187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</row>
    <row r="31" spans="1:17" ht="15.75">
      <c r="A31" s="187">
        <f>IF(D31&lt;&gt;"",28,"")</f>
      </c>
      <c r="B31" s="237" t="str">
        <f ca="1" t="shared" si="0"/>
        <v> </v>
      </c>
      <c r="C31" s="237">
        <f>IF(ISNUMBER(D31)=TRUE,IF(COUNTIF(D4:D33,D31)=1,"","HIBA"),"")</f>
      </c>
      <c r="D31" s="186"/>
      <c r="E31" s="187"/>
      <c r="F31" s="187"/>
      <c r="G31" s="206"/>
      <c r="H31" s="206"/>
      <c r="I31" s="206"/>
      <c r="J31" s="206"/>
      <c r="K31" s="206"/>
      <c r="L31" s="206"/>
      <c r="M31" s="206"/>
      <c r="N31" s="206"/>
      <c r="O31" s="206"/>
      <c r="P31" s="206"/>
      <c r="Q31" s="206"/>
    </row>
    <row r="32" spans="1:17" ht="15.75">
      <c r="A32" s="187">
        <f>IF(D32&lt;&gt;"",29,"")</f>
      </c>
      <c r="B32" s="237" t="str">
        <f ca="1" t="shared" si="0"/>
        <v> </v>
      </c>
      <c r="C32" s="237">
        <f>IF(ISNUMBER(D32)=TRUE,IF(COUNTIF(D4:D33,D32)=1,"","HIBA"),"")</f>
      </c>
      <c r="D32" s="186"/>
      <c r="E32" s="187"/>
      <c r="F32" s="187"/>
      <c r="G32" s="206"/>
      <c r="H32" s="206"/>
      <c r="I32" s="206"/>
      <c r="J32" s="206"/>
      <c r="K32" s="206"/>
      <c r="L32" s="206"/>
      <c r="M32" s="206"/>
      <c r="N32" s="206"/>
      <c r="O32" s="206"/>
      <c r="P32" s="206"/>
      <c r="Q32" s="206"/>
    </row>
    <row r="33" spans="1:17" ht="15.75">
      <c r="A33" s="187">
        <f>IF(D33&lt;&gt;"",30,"")</f>
      </c>
      <c r="B33" s="237" t="str">
        <f ca="1" t="shared" si="0"/>
        <v> </v>
      </c>
      <c r="C33" s="237">
        <f>IF(ISNUMBER(D33)=TRUE,IF(COUNTIF(D4:D33,D33)=1,"","HIBA"),"")</f>
      </c>
      <c r="D33" s="186"/>
      <c r="E33" s="187"/>
      <c r="F33" s="187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</row>
    <row r="34" spans="1:17" ht="15.75">
      <c r="A34" s="206"/>
      <c r="B34" s="237"/>
      <c r="C34" s="237"/>
      <c r="D34" s="238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  <c r="P34" s="206"/>
      <c r="Q34" s="206"/>
    </row>
    <row r="35" spans="1:17" ht="15.75">
      <c r="A35" s="206"/>
      <c r="B35" s="237"/>
      <c r="C35" s="237"/>
      <c r="D35" s="238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  <c r="P35" s="206"/>
      <c r="Q35" s="206"/>
    </row>
    <row r="36" spans="1:17" ht="15.75">
      <c r="A36" s="206"/>
      <c r="B36" s="237"/>
      <c r="C36" s="237"/>
      <c r="D36" s="238"/>
      <c r="E36" s="206"/>
      <c r="F36" s="206"/>
      <c r="G36" s="206"/>
      <c r="H36" s="206"/>
      <c r="I36" s="206"/>
      <c r="J36" s="206"/>
      <c r="K36" s="206"/>
      <c r="L36" s="206"/>
      <c r="M36" s="206"/>
      <c r="N36" s="206"/>
      <c r="O36" s="206"/>
      <c r="P36" s="206"/>
      <c r="Q36" s="206"/>
    </row>
    <row r="37" spans="1:17" ht="15.75">
      <c r="A37" s="206"/>
      <c r="B37" s="237"/>
      <c r="C37" s="237"/>
      <c r="D37" s="238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</row>
    <row r="38" spans="1:17" ht="15.75">
      <c r="A38" s="206"/>
      <c r="B38" s="237"/>
      <c r="C38" s="237"/>
      <c r="D38" s="238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</row>
    <row r="39" spans="1:17" ht="15.75">
      <c r="A39" s="206"/>
      <c r="B39" s="237"/>
      <c r="C39" s="237"/>
      <c r="D39" s="238"/>
      <c r="E39" s="206"/>
      <c r="F39" s="206"/>
      <c r="G39" s="206"/>
      <c r="H39" s="206"/>
      <c r="I39" s="206"/>
      <c r="J39" s="206"/>
      <c r="K39" s="206"/>
      <c r="L39" s="206"/>
      <c r="M39" s="206"/>
      <c r="N39" s="206"/>
      <c r="O39" s="206"/>
      <c r="P39" s="206"/>
      <c r="Q39" s="206"/>
    </row>
    <row r="40" spans="1:17" ht="15.75">
      <c r="A40" s="206"/>
      <c r="B40" s="237"/>
      <c r="C40" s="237"/>
      <c r="D40" s="238"/>
      <c r="E40" s="206"/>
      <c r="F40" s="206"/>
      <c r="G40" s="206"/>
      <c r="H40" s="206"/>
      <c r="I40" s="206"/>
      <c r="J40" s="206"/>
      <c r="K40" s="206"/>
      <c r="L40" s="206"/>
      <c r="M40" s="206"/>
      <c r="N40" s="206"/>
      <c r="O40" s="206"/>
      <c r="P40" s="206"/>
      <c r="Q40" s="206"/>
    </row>
    <row r="41" spans="1:17" ht="15.75">
      <c r="A41" s="206"/>
      <c r="B41" s="237"/>
      <c r="C41" s="237"/>
      <c r="D41" s="238"/>
      <c r="E41" s="206"/>
      <c r="F41" s="206"/>
      <c r="G41" s="206"/>
      <c r="H41" s="206"/>
      <c r="I41" s="206"/>
      <c r="J41" s="206"/>
      <c r="K41" s="206"/>
      <c r="L41" s="206"/>
      <c r="M41" s="206"/>
      <c r="N41" s="206"/>
      <c r="O41" s="206"/>
      <c r="P41" s="206"/>
      <c r="Q41" s="206"/>
    </row>
    <row r="42" spans="1:17" ht="15.75">
      <c r="A42" s="206"/>
      <c r="B42" s="237"/>
      <c r="C42" s="237"/>
      <c r="D42" s="238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</row>
    <row r="43" spans="1:17" ht="15.75">
      <c r="A43" s="206"/>
      <c r="B43" s="237"/>
      <c r="C43" s="237"/>
      <c r="D43" s="238"/>
      <c r="E43" s="206"/>
      <c r="F43" s="206"/>
      <c r="G43" s="206"/>
      <c r="H43" s="206"/>
      <c r="I43" s="206"/>
      <c r="J43" s="206"/>
      <c r="K43" s="206"/>
      <c r="L43" s="206"/>
      <c r="M43" s="206"/>
      <c r="N43" s="206"/>
      <c r="O43" s="206"/>
      <c r="P43" s="206"/>
      <c r="Q43" s="206"/>
    </row>
    <row r="44" spans="1:17" ht="15.75">
      <c r="A44" s="206"/>
      <c r="B44" s="237"/>
      <c r="C44" s="237"/>
      <c r="D44" s="238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</row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MNB</dc:creator>
  <cp:keywords/>
  <dc:description/>
  <cp:lastModifiedBy>Gyarmathy Miklós</cp:lastModifiedBy>
  <cp:lastPrinted>2015-04-11T16:50:42Z</cp:lastPrinted>
  <dcterms:created xsi:type="dcterms:W3CDTF">2004-02-09T18:32:00Z</dcterms:created>
  <dcterms:modified xsi:type="dcterms:W3CDTF">2015-04-11T17:36:58Z</dcterms:modified>
  <cp:category/>
  <cp:version/>
  <cp:contentType/>
  <cp:contentStatus/>
</cp:coreProperties>
</file>